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385" yWindow="-15" windowWidth="14430" windowHeight="12495"/>
  </bookViews>
  <sheets>
    <sheet name="表紙" sheetId="10" r:id="rId1"/>
    <sheet name="1.定格消費電力" sheetId="14" r:id="rId2"/>
    <sheet name="3.立上り性能" sheetId="11" r:id="rId3"/>
    <sheet name="4.処理能力" sheetId="4" r:id="rId4"/>
    <sheet name="5.消費電力量" sheetId="6" r:id="rId5"/>
    <sheet name="6.給湯量" sheetId="12" r:id="rId6"/>
  </sheets>
  <externalReferences>
    <externalReference r:id="rId7"/>
  </externalReferences>
  <definedNames>
    <definedName name="_xlnm._FilterDatabase" localSheetId="0" hidden="1">表紙!#REF!</definedName>
    <definedName name="_xlnm.Print_Area" localSheetId="1">'1.定格消費電力'!$A$2:$J$56</definedName>
    <definedName name="_xlnm.Print_Area" localSheetId="2">'3.立上り性能'!$A$2:$L$52</definedName>
    <definedName name="_xlnm.Print_Area" localSheetId="3">'4.処理能力'!$A$2:$O$51</definedName>
    <definedName name="_xlnm.Print_Area" localSheetId="4">'5.消費電力量'!$A$2:$L$52,'5.消費電力量'!$A$55:$L$102</definedName>
    <definedName name="_xlnm.Print_Area" localSheetId="5">'6.給湯量'!$A$2:$J$46</definedName>
    <definedName name="_xlnm.Print_Area" localSheetId="0">表紙!$A$1:$K$45</definedName>
    <definedName name="フライトコンベア洗浄機">表紙!$O$12:$O$14</definedName>
    <definedName name="フラットコンベア洗浄機">表紙!$P$12:$P$14</definedName>
    <definedName name="ラックコンベア洗浄機">表紙!$N$12:$N$13</definedName>
    <definedName name="ラックコンベア洗浄機_フライトコンベア洗浄機_フラットコンベア洗浄機_選択してください">表紙!$M$12:$M$14</definedName>
    <definedName name="温記号">INDIRECT('3.立上り性能'!$S$24)</definedName>
    <definedName name="給水温">'3.立上り性能'!$T$25</definedName>
    <definedName name="給湯温">'3.立上り性能'!$S$25</definedName>
    <definedName name="処記号">INDIRECT(表紙!#REF!)</definedName>
    <definedName name="処給水">表紙!#REF!</definedName>
    <definedName name="処給湯">表紙!#REF!</definedName>
    <definedName name="処選択">表紙!#REF!</definedName>
    <definedName name="消費無処給水">'5.消費電力量'!$Q$28</definedName>
    <definedName name="消費無処給湯">'5.消費電力量'!$Q$26</definedName>
    <definedName name="消費無処式">INDIRECT('5.消費電力量'!$N$31)</definedName>
    <definedName name="消費立給水">'5.消費電力量'!$Q$17</definedName>
    <definedName name="消費立給湯">'5.消費電力量'!$Q$15</definedName>
    <definedName name="消費立式">INDIRECT('5.消費電力量'!$N$15)</definedName>
    <definedName name="食記号">INDIRECT(表紙!#REF!)</definedName>
    <definedName name="食給水">表紙!#REF!</definedName>
    <definedName name="食給湯">表紙!#REF!</definedName>
    <definedName name="食選択">表紙!#REF!</definedName>
    <definedName name="性記号">INDIRECT(表紙!#REF!)</definedName>
    <definedName name="性給水">表紙!#REF!</definedName>
    <definedName name="性給湯">表紙!#REF!</definedName>
    <definedName name="性選択">表紙!#REF!</definedName>
    <definedName name="性能式">INDIRECT('[1]3.立上り性能B'!$L$32)</definedName>
    <definedName name="日記号">INDIRECT(表紙!#REF!)</definedName>
    <definedName name="日給水">表紙!#REF!</definedName>
    <definedName name="日給湯">表紙!#REF!</definedName>
    <definedName name="日選択">表紙!#REF!</definedName>
    <definedName name="品目">表紙!$M$11:$P$14</definedName>
    <definedName name="立記号">INDIRECT(表紙!#REF!)</definedName>
    <definedName name="立給水">表紙!#REF!</definedName>
    <definedName name="立給湯">表紙!#REF!</definedName>
    <definedName name="立循環給水">'3.立上り性能'!$O$31</definedName>
    <definedName name="立循環給湯">'3.立上り性能'!$O$28</definedName>
    <definedName name="立循環式">INDIRECT('3.立上り性能'!$N$28)</definedName>
    <definedName name="立洗浄給水">'3.立上り性能'!$O$25</definedName>
    <definedName name="立洗浄給湯">'3.立上り性能'!$O$22</definedName>
    <definedName name="立洗浄式">INDIRECT('3.立上り性能'!$N$22)</definedName>
    <definedName name="立選択">表紙!#REF!</definedName>
  </definedNames>
  <calcPr calcId="145621"/>
</workbook>
</file>

<file path=xl/calcChain.xml><?xml version="1.0" encoding="utf-8"?>
<calcChain xmlns="http://schemas.openxmlformats.org/spreadsheetml/2006/main">
  <c r="S24" i="11" l="1"/>
  <c r="A2" i="12" l="1"/>
  <c r="A2" i="6"/>
  <c r="A55" i="6" s="1"/>
  <c r="A2" i="4"/>
  <c r="A2" i="11"/>
  <c r="A2" i="14"/>
  <c r="G27" i="12" l="1"/>
  <c r="G26" i="12"/>
  <c r="M35" i="10"/>
  <c r="M34" i="10"/>
  <c r="M33" i="10"/>
  <c r="M32" i="10"/>
  <c r="B32" i="6" l="1"/>
  <c r="B12" i="6"/>
  <c r="N31" i="6"/>
  <c r="N15" i="6"/>
  <c r="O13" i="6"/>
  <c r="N13" i="6"/>
  <c r="N28" i="11"/>
  <c r="N22" i="11"/>
  <c r="N20" i="11"/>
  <c r="O20" i="11"/>
  <c r="A26" i="11"/>
  <c r="B12" i="10" l="1"/>
  <c r="J35" i="10" l="1"/>
  <c r="J34" i="10"/>
  <c r="J33" i="10"/>
  <c r="J32" i="10"/>
  <c r="I16" i="6" l="1"/>
  <c r="I15" i="6"/>
  <c r="I33" i="11" l="1"/>
  <c r="H15" i="10" l="1"/>
  <c r="C16" i="10"/>
  <c r="C15" i="10"/>
  <c r="B3" i="12" l="1"/>
  <c r="B4" i="12"/>
  <c r="G4" i="12"/>
  <c r="G10" i="12"/>
  <c r="G16" i="12"/>
  <c r="J40" i="10"/>
  <c r="J39" i="10"/>
  <c r="B3" i="6"/>
  <c r="B56" i="6" s="1"/>
  <c r="B4" i="6"/>
  <c r="I4" i="6"/>
  <c r="H11" i="6"/>
  <c r="I11" i="6"/>
  <c r="I12" i="6"/>
  <c r="I68" i="6"/>
  <c r="I71" i="6"/>
  <c r="I72" i="6"/>
  <c r="B57" i="6"/>
  <c r="I57" i="6"/>
  <c r="H83" i="6"/>
  <c r="I83" i="6"/>
  <c r="B3" i="4"/>
  <c r="B4" i="4"/>
  <c r="L4" i="4"/>
  <c r="Q24" i="4"/>
  <c r="F25" i="4"/>
  <c r="M25" i="4"/>
  <c r="F26" i="4"/>
  <c r="M26" i="4"/>
  <c r="F27" i="4"/>
  <c r="M27" i="4"/>
  <c r="F28" i="4"/>
  <c r="M28" i="4"/>
  <c r="M29" i="4"/>
  <c r="D32" i="4"/>
  <c r="K32" i="4"/>
  <c r="D34" i="4"/>
  <c r="K34" i="4"/>
  <c r="D36" i="4"/>
  <c r="K36" i="4"/>
  <c r="F39" i="4"/>
  <c r="F40" i="4"/>
  <c r="F41" i="4"/>
  <c r="F42" i="4" s="1"/>
  <c r="D48" i="4"/>
  <c r="C3" i="11"/>
  <c r="C4" i="11"/>
  <c r="I4" i="11"/>
  <c r="E25" i="11"/>
  <c r="I25" i="11"/>
  <c r="H49" i="11"/>
  <c r="I49" i="11"/>
  <c r="B3" i="14"/>
  <c r="B4" i="14"/>
  <c r="G4" i="14"/>
  <c r="H26" i="14"/>
  <c r="E27" i="14"/>
  <c r="F27" i="14"/>
  <c r="H33" i="14"/>
  <c r="E34" i="14"/>
  <c r="F34" i="14"/>
  <c r="H41" i="14"/>
  <c r="F12" i="10"/>
  <c r="I12" i="10"/>
  <c r="I27" i="11"/>
  <c r="I36" i="11" s="1"/>
  <c r="K15" i="10"/>
  <c r="G16" i="10"/>
  <c r="H16" i="10"/>
  <c r="I17" i="6" s="1"/>
  <c r="H18" i="10"/>
  <c r="J18" i="10" s="1"/>
  <c r="H20" i="10"/>
  <c r="J20" i="10" s="1"/>
  <c r="J27" i="10"/>
  <c r="K27" i="10"/>
  <c r="K21" i="10" l="1"/>
  <c r="J21" i="10"/>
  <c r="I20" i="10"/>
  <c r="J19" i="10"/>
  <c r="K19" i="10"/>
  <c r="H23" i="10"/>
  <c r="J22" i="10"/>
  <c r="H33" i="6"/>
  <c r="H36" i="6" s="1"/>
  <c r="I13" i="6"/>
  <c r="I20" i="6" s="1"/>
  <c r="I42" i="11"/>
  <c r="D46" i="4"/>
  <c r="D50" i="4" s="1"/>
  <c r="H27" i="10" s="1"/>
  <c r="M39" i="10"/>
  <c r="H36" i="10"/>
  <c r="I85" i="6"/>
  <c r="H31" i="10" s="1"/>
  <c r="M40" i="10"/>
  <c r="G24" i="12"/>
  <c r="H37" i="10"/>
  <c r="G25" i="12"/>
  <c r="I33" i="6"/>
  <c r="I36" i="6" s="1"/>
  <c r="F43" i="4"/>
  <c r="K16" i="10"/>
  <c r="I28" i="11"/>
  <c r="G15" i="10"/>
  <c r="K24" i="10" l="1"/>
  <c r="J23" i="10"/>
  <c r="I23" i="10"/>
  <c r="J24" i="10"/>
  <c r="I39" i="11"/>
  <c r="I46" i="11" s="1"/>
  <c r="H26" i="10" s="1"/>
  <c r="H20" i="6"/>
  <c r="I22" i="6" s="1"/>
  <c r="H28" i="10" s="1"/>
  <c r="I94" i="6"/>
  <c r="G29" i="12"/>
  <c r="H39" i="10" s="1"/>
  <c r="I67" i="6"/>
  <c r="I95" i="6"/>
  <c r="I87" i="6"/>
  <c r="I38" i="6" l="1"/>
  <c r="I92" i="6"/>
  <c r="I24" i="6"/>
  <c r="I74" i="6" l="1"/>
  <c r="H29" i="10"/>
  <c r="I40" i="6"/>
  <c r="I93" i="6" l="1"/>
  <c r="I101" i="6" s="1"/>
  <c r="H32" i="10" s="1"/>
  <c r="H30" i="10"/>
</calcChain>
</file>

<file path=xl/sharedStrings.xml><?xml version="1.0" encoding="utf-8"?>
<sst xmlns="http://schemas.openxmlformats.org/spreadsheetml/2006/main" count="477" uniqueCount="299">
  <si>
    <t>型　　式</t>
    <rPh sb="0" eb="1">
      <t>カタ</t>
    </rPh>
    <rPh sb="3" eb="4">
      <t>シキ</t>
    </rPh>
    <phoneticPr fontId="3"/>
  </si>
  <si>
    <t>製造者名</t>
    <rPh sb="0" eb="2">
      <t>セイゾウ</t>
    </rPh>
    <rPh sb="2" eb="3">
      <t>シャ</t>
    </rPh>
    <rPh sb="3" eb="4">
      <t>メイ</t>
    </rPh>
    <phoneticPr fontId="3"/>
  </si>
  <si>
    <t>試験場所</t>
    <rPh sb="0" eb="2">
      <t>シケン</t>
    </rPh>
    <rPh sb="2" eb="4">
      <t>バショ</t>
    </rPh>
    <phoneticPr fontId="3"/>
  </si>
  <si>
    <t>測定器</t>
    <rPh sb="0" eb="2">
      <t>ソクテイ</t>
    </rPh>
    <rPh sb="2" eb="3">
      <t>ウツワ</t>
    </rPh>
    <phoneticPr fontId="3"/>
  </si>
  <si>
    <t>（Ｄ）　　×</t>
    <phoneticPr fontId="3"/>
  </si>
  <si>
    <t>（Ｈ）　</t>
    <phoneticPr fontId="3"/>
  </si>
  <si>
    <t>電　　源</t>
    <rPh sb="0" eb="1">
      <t>デン</t>
    </rPh>
    <rPh sb="3" eb="4">
      <t>ミナモト</t>
    </rPh>
    <phoneticPr fontId="3"/>
  </si>
  <si>
    <t>機器の
主な仕様</t>
    <rPh sb="0" eb="2">
      <t>キキ</t>
    </rPh>
    <rPh sb="4" eb="5">
      <t>オモ</t>
    </rPh>
    <rPh sb="6" eb="8">
      <t>シヨウ</t>
    </rPh>
    <phoneticPr fontId="3"/>
  </si>
  <si>
    <t>担当部署</t>
    <rPh sb="0" eb="2">
      <t>タントウ</t>
    </rPh>
    <rPh sb="2" eb="4">
      <t>ブショ</t>
    </rPh>
    <phoneticPr fontId="3"/>
  </si>
  <si>
    <t>定格消費電力</t>
    <rPh sb="0" eb="2">
      <t>テイカク</t>
    </rPh>
    <rPh sb="2" eb="4">
      <t>ショウヒ</t>
    </rPh>
    <rPh sb="4" eb="6">
      <t>デンリョク</t>
    </rPh>
    <phoneticPr fontId="3"/>
  </si>
  <si>
    <t>①立上り時</t>
    <rPh sb="1" eb="2">
      <t>タ</t>
    </rPh>
    <rPh sb="2" eb="3">
      <t>ア</t>
    </rPh>
    <rPh sb="4" eb="5">
      <t>ジ</t>
    </rPh>
    <phoneticPr fontId="3"/>
  </si>
  <si>
    <t>(kWh)</t>
    <phoneticPr fontId="3"/>
  </si>
  <si>
    <t>(kWh/日)</t>
    <rPh sb="5" eb="6">
      <t>ニチ</t>
    </rPh>
    <phoneticPr fontId="3"/>
  </si>
  <si>
    <t>(ℓ/回)</t>
    <rPh sb="3" eb="4">
      <t>カイ</t>
    </rPh>
    <phoneticPr fontId="3"/>
  </si>
  <si>
    <t>（小数点以下２位）</t>
    <rPh sb="1" eb="4">
      <t>ショウスウテン</t>
    </rPh>
    <rPh sb="4" eb="6">
      <t>イカ</t>
    </rPh>
    <rPh sb="7" eb="8">
      <t>イ</t>
    </rPh>
    <phoneticPr fontId="3"/>
  </si>
  <si>
    <t>(kWh/h)</t>
    <phoneticPr fontId="3"/>
  </si>
  <si>
    <t>（小数点以下1位）</t>
    <rPh sb="1" eb="4">
      <t>ショウスウテン</t>
    </rPh>
    <rPh sb="4" eb="6">
      <t>イカ</t>
    </rPh>
    <rPh sb="7" eb="8">
      <t>イ</t>
    </rPh>
    <phoneticPr fontId="3"/>
  </si>
  <si>
    <t>（ℓ/h）</t>
  </si>
  <si>
    <t>（ℓ/日）</t>
    <rPh sb="3" eb="4">
      <t>ヒ</t>
    </rPh>
    <phoneticPr fontId="3"/>
  </si>
  <si>
    <t>(ℓ/日)</t>
    <rPh sb="3" eb="4">
      <t>ヒ</t>
    </rPh>
    <phoneticPr fontId="3"/>
  </si>
  <si>
    <t>（小数点以下2位）</t>
    <rPh sb="1" eb="4">
      <t>ショウスウテン</t>
    </rPh>
    <rPh sb="4" eb="6">
      <t>イカ</t>
    </rPh>
    <rPh sb="7" eb="8">
      <t>イ</t>
    </rPh>
    <phoneticPr fontId="3"/>
  </si>
  <si>
    <t>(min)</t>
    <phoneticPr fontId="3"/>
  </si>
  <si>
    <t>(m/min)</t>
    <phoneticPr fontId="3"/>
  </si>
  <si>
    <t>(ℓ/h)</t>
    <phoneticPr fontId="3"/>
  </si>
  <si>
    <t>（kW）</t>
    <phoneticPr fontId="3"/>
  </si>
  <si>
    <t>(回/日)</t>
    <rPh sb="1" eb="2">
      <t>カイ</t>
    </rPh>
    <rPh sb="3" eb="4">
      <t>ヒ</t>
    </rPh>
    <phoneticPr fontId="3"/>
  </si>
  <si>
    <t>(℃）</t>
    <phoneticPr fontId="3"/>
  </si>
  <si>
    <t>品　　目</t>
    <rPh sb="0" eb="1">
      <t>シナ</t>
    </rPh>
    <rPh sb="3" eb="4">
      <t>メ</t>
    </rPh>
    <phoneticPr fontId="3"/>
  </si>
  <si>
    <t>名　　称</t>
    <rPh sb="0" eb="1">
      <t>ナ</t>
    </rPh>
    <rPh sb="3" eb="4">
      <t>ショウ</t>
    </rPh>
    <phoneticPr fontId="3"/>
  </si>
  <si>
    <t>湿度(%)</t>
    <rPh sb="0" eb="1">
      <t>シツ</t>
    </rPh>
    <rPh sb="1" eb="2">
      <t>タビ</t>
    </rPh>
    <phoneticPr fontId="3"/>
  </si>
  <si>
    <t>（小数点以下３位）</t>
    <rPh sb="1" eb="4">
      <t>ショウスウテン</t>
    </rPh>
    <rPh sb="4" eb="6">
      <t>イカ</t>
    </rPh>
    <rPh sb="7" eb="8">
      <t>イ</t>
    </rPh>
    <phoneticPr fontId="3"/>
  </si>
  <si>
    <t>作成日</t>
    <phoneticPr fontId="3"/>
  </si>
  <si>
    <t>試験期間</t>
    <rPh sb="0" eb="2">
      <t>シケン</t>
    </rPh>
    <phoneticPr fontId="3"/>
  </si>
  <si>
    <t>～</t>
    <phoneticPr fontId="3"/>
  </si>
  <si>
    <t>1回目</t>
    <rPh sb="1" eb="3">
      <t>カイメ</t>
    </rPh>
    <phoneticPr fontId="3"/>
  </si>
  <si>
    <t>試験日</t>
    <rPh sb="0" eb="3">
      <t>シケンビ</t>
    </rPh>
    <phoneticPr fontId="3"/>
  </si>
  <si>
    <t>2回目</t>
    <rPh sb="1" eb="3">
      <t>カイメ</t>
    </rPh>
    <phoneticPr fontId="3"/>
  </si>
  <si>
    <t>（Ｗ）　　×</t>
    <phoneticPr fontId="3"/>
  </si>
  <si>
    <t>重量(kg)</t>
    <rPh sb="0" eb="2">
      <t>ジュウリョウ</t>
    </rPh>
    <phoneticPr fontId="3"/>
  </si>
  <si>
    <t>(枚/h)</t>
    <phoneticPr fontId="3"/>
  </si>
  <si>
    <t>室温(℃)</t>
    <phoneticPr fontId="3"/>
  </si>
  <si>
    <t>（小数点以下3位）</t>
    <rPh sb="1" eb="4">
      <t>ショウスウテン</t>
    </rPh>
    <rPh sb="4" eb="6">
      <t>イカ</t>
    </rPh>
    <rPh sb="7" eb="8">
      <t>イ</t>
    </rPh>
    <phoneticPr fontId="3"/>
  </si>
  <si>
    <t>(kWh/h)</t>
    <phoneticPr fontId="3"/>
  </si>
  <si>
    <t>(kJ/kg℃)</t>
    <phoneticPr fontId="3"/>
  </si>
  <si>
    <t>②試験食器なし処理時</t>
    <rPh sb="7" eb="9">
      <t>ショリ</t>
    </rPh>
    <rPh sb="9" eb="10">
      <t>ジ</t>
    </rPh>
    <phoneticPr fontId="3"/>
  </si>
  <si>
    <t>④待機時</t>
    <rPh sb="1" eb="3">
      <t>タイキ</t>
    </rPh>
    <rPh sb="3" eb="4">
      <t>ジ</t>
    </rPh>
    <phoneticPr fontId="3"/>
  </si>
  <si>
    <t>(ℓ/回)</t>
    <phoneticPr fontId="3"/>
  </si>
  <si>
    <t>(kWh/日)</t>
    <rPh sb="5" eb="6">
      <t>ヒ</t>
    </rPh>
    <phoneticPr fontId="3"/>
  </si>
  <si>
    <t>（kWh/回）</t>
    <rPh sb="5" eb="6">
      <t>カイ</t>
    </rPh>
    <phoneticPr fontId="3"/>
  </si>
  <si>
    <t>(h/日）</t>
    <phoneticPr fontId="3"/>
  </si>
  <si>
    <t>（ｈ/日）</t>
    <rPh sb="3" eb="4">
      <t>ヒ</t>
    </rPh>
    <phoneticPr fontId="3"/>
  </si>
  <si>
    <t>（小数点以下１位）</t>
    <rPh sb="1" eb="4">
      <t>ショウスウテン</t>
    </rPh>
    <rPh sb="4" eb="6">
      <t>イカ</t>
    </rPh>
    <rPh sb="7" eb="8">
      <t>イ</t>
    </rPh>
    <phoneticPr fontId="3"/>
  </si>
  <si>
    <t>(min)</t>
    <phoneticPr fontId="3"/>
  </si>
  <si>
    <t>③処理時</t>
    <phoneticPr fontId="3"/>
  </si>
  <si>
    <r>
      <t>W</t>
    </r>
    <r>
      <rPr>
        <vertAlign val="subscript"/>
        <sz val="10"/>
        <rFont val="Century"/>
        <family val="1"/>
      </rPr>
      <t>m</t>
    </r>
    <r>
      <rPr>
        <i/>
        <sz val="10"/>
        <rFont val="ＭＳ Ｐゴシック"/>
        <family val="3"/>
        <charset val="128"/>
      </rPr>
      <t xml:space="preserve"> </t>
    </r>
    <r>
      <rPr>
        <sz val="10"/>
        <rFont val="ＭＳ Ｐゴシック"/>
        <family val="3"/>
        <charset val="128"/>
      </rPr>
      <t xml:space="preserve">= </t>
    </r>
    <phoneticPr fontId="3"/>
  </si>
  <si>
    <r>
      <t>W</t>
    </r>
    <r>
      <rPr>
        <vertAlign val="subscript"/>
        <sz val="10"/>
        <rFont val="Century"/>
        <family val="1"/>
      </rPr>
      <t>f</t>
    </r>
    <r>
      <rPr>
        <i/>
        <sz val="10"/>
        <rFont val="ＭＳ Ｐゴシック"/>
        <family val="3"/>
        <charset val="128"/>
      </rPr>
      <t xml:space="preserve"> </t>
    </r>
    <r>
      <rPr>
        <sz val="10"/>
        <rFont val="ＭＳ Ｐゴシック"/>
        <family val="3"/>
        <charset val="128"/>
      </rPr>
      <t xml:space="preserve">= </t>
    </r>
    <phoneticPr fontId="3"/>
  </si>
  <si>
    <r>
      <t xml:space="preserve">C </t>
    </r>
    <r>
      <rPr>
        <sz val="10"/>
        <rFont val="ＭＳ Ｐゴシック"/>
        <family val="3"/>
        <charset val="128"/>
      </rPr>
      <t xml:space="preserve"> =</t>
    </r>
    <phoneticPr fontId="3"/>
  </si>
  <si>
    <t>(kJ/kg℃)</t>
    <phoneticPr fontId="3"/>
  </si>
  <si>
    <t>③循環すすぎタンクの立上り性能</t>
    <rPh sb="1" eb="3">
      <t>ジュンカン</t>
    </rPh>
    <rPh sb="10" eb="11">
      <t>タ</t>
    </rPh>
    <rPh sb="11" eb="12">
      <t>ア</t>
    </rPh>
    <rPh sb="13" eb="15">
      <t>セイノウ</t>
    </rPh>
    <phoneticPr fontId="3"/>
  </si>
  <si>
    <t>④仕上げすすぎタンクの立上り性能</t>
    <rPh sb="1" eb="3">
      <t>シア</t>
    </rPh>
    <rPh sb="11" eb="12">
      <t>タ</t>
    </rPh>
    <rPh sb="12" eb="13">
      <t>ア</t>
    </rPh>
    <rPh sb="14" eb="16">
      <t>セイノウ</t>
    </rPh>
    <phoneticPr fontId="3"/>
  </si>
  <si>
    <r>
      <t>W</t>
    </r>
    <r>
      <rPr>
        <vertAlign val="subscript"/>
        <sz val="10"/>
        <rFont val="Century"/>
        <family val="1"/>
      </rPr>
      <t>r</t>
    </r>
    <r>
      <rPr>
        <sz val="10"/>
        <rFont val="ＭＳ Ｐゴシック"/>
        <family val="3"/>
        <charset val="128"/>
      </rPr>
      <t xml:space="preserve"> = </t>
    </r>
    <phoneticPr fontId="3"/>
  </si>
  <si>
    <r>
      <t>T</t>
    </r>
    <r>
      <rPr>
        <vertAlign val="subscript"/>
        <sz val="10"/>
        <rFont val="Century"/>
        <family val="1"/>
      </rPr>
      <t>i</t>
    </r>
    <r>
      <rPr>
        <i/>
        <sz val="10"/>
        <rFont val="Century"/>
        <family val="1"/>
      </rPr>
      <t xml:space="preserve"> </t>
    </r>
    <r>
      <rPr>
        <sz val="10"/>
        <rFont val="ＭＳ Ｐゴシック"/>
        <family val="3"/>
        <charset val="128"/>
      </rPr>
      <t>=</t>
    </r>
    <phoneticPr fontId="3"/>
  </si>
  <si>
    <r>
      <t>P</t>
    </r>
    <r>
      <rPr>
        <vertAlign val="subscript"/>
        <sz val="10"/>
        <rFont val="Century"/>
        <family val="1"/>
      </rPr>
      <t>i</t>
    </r>
    <r>
      <rPr>
        <i/>
        <sz val="10"/>
        <rFont val="Century"/>
        <family val="1"/>
      </rPr>
      <t xml:space="preserve"> </t>
    </r>
    <r>
      <rPr>
        <sz val="10"/>
        <rFont val="ＭＳ Ｐゴシック"/>
        <family val="3"/>
        <charset val="128"/>
      </rPr>
      <t>=</t>
    </r>
    <phoneticPr fontId="3"/>
  </si>
  <si>
    <t>気圧
(hPa)</t>
    <rPh sb="0" eb="1">
      <t>キ</t>
    </rPh>
    <rPh sb="1" eb="2">
      <t>アツ</t>
    </rPh>
    <phoneticPr fontId="3"/>
  </si>
  <si>
    <t>(min)</t>
    <phoneticPr fontId="3"/>
  </si>
  <si>
    <r>
      <rPr>
        <i/>
        <sz val="14"/>
        <rFont val="Century"/>
        <family val="1"/>
      </rPr>
      <t>V</t>
    </r>
    <r>
      <rPr>
        <vertAlign val="subscript"/>
        <sz val="14"/>
        <rFont val="Century"/>
        <family val="1"/>
      </rPr>
      <t>C</t>
    </r>
    <r>
      <rPr>
        <sz val="10"/>
        <rFont val="ＭＳ Ｐゴシック"/>
        <family val="3"/>
        <charset val="128"/>
      </rPr>
      <t xml:space="preserve"> =</t>
    </r>
    <phoneticPr fontId="3"/>
  </si>
  <si>
    <r>
      <t>V</t>
    </r>
    <r>
      <rPr>
        <vertAlign val="subscript"/>
        <sz val="10"/>
        <rFont val="Century"/>
        <family val="1"/>
      </rPr>
      <t>m</t>
    </r>
    <r>
      <rPr>
        <sz val="10"/>
        <rFont val="ＭＳ Ｐゴシック"/>
        <family val="3"/>
        <charset val="128"/>
      </rPr>
      <t xml:space="preserve"> =</t>
    </r>
    <phoneticPr fontId="3"/>
  </si>
  <si>
    <t>(枚/m)</t>
    <phoneticPr fontId="3"/>
  </si>
  <si>
    <t>（m/min）</t>
    <phoneticPr fontId="3"/>
  </si>
  <si>
    <r>
      <t>S</t>
    </r>
    <r>
      <rPr>
        <vertAlign val="subscript"/>
        <sz val="10"/>
        <rFont val="Century"/>
        <family val="1"/>
      </rPr>
      <t>C</t>
    </r>
    <r>
      <rPr>
        <sz val="10"/>
        <rFont val="ＭＳ Ｐゴシック"/>
        <family val="3"/>
        <charset val="128"/>
      </rPr>
      <t xml:space="preserve"> =</t>
    </r>
    <phoneticPr fontId="3"/>
  </si>
  <si>
    <r>
      <t>W</t>
    </r>
    <r>
      <rPr>
        <vertAlign val="subscript"/>
        <sz val="10"/>
        <rFont val="Century"/>
        <family val="1"/>
      </rPr>
      <t>s</t>
    </r>
    <r>
      <rPr>
        <i/>
        <sz val="10"/>
        <rFont val="ＭＳ Ｐゴシック"/>
        <family val="3"/>
        <charset val="128"/>
      </rPr>
      <t xml:space="preserve"> </t>
    </r>
    <r>
      <rPr>
        <sz val="10"/>
        <rFont val="ＭＳ Ｐゴシック"/>
        <family val="3"/>
        <charset val="128"/>
      </rPr>
      <t>=</t>
    </r>
    <phoneticPr fontId="3"/>
  </si>
  <si>
    <r>
      <t>W</t>
    </r>
    <r>
      <rPr>
        <vertAlign val="subscript"/>
        <sz val="10"/>
        <rFont val="Century"/>
        <family val="1"/>
      </rPr>
      <t>c</t>
    </r>
    <r>
      <rPr>
        <i/>
        <sz val="10"/>
        <rFont val="ＭＳ Ｐゴシック"/>
        <family val="3"/>
        <charset val="128"/>
      </rPr>
      <t xml:space="preserve"> </t>
    </r>
    <r>
      <rPr>
        <sz val="10"/>
        <rFont val="ＭＳ Ｐゴシック"/>
        <family val="3"/>
        <charset val="128"/>
      </rPr>
      <t>=</t>
    </r>
    <phoneticPr fontId="3"/>
  </si>
  <si>
    <r>
      <t>W</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t>
    </r>
    <phoneticPr fontId="3"/>
  </si>
  <si>
    <r>
      <t>h</t>
    </r>
    <r>
      <rPr>
        <vertAlign val="subscript"/>
        <sz val="10"/>
        <rFont val="Century"/>
        <family val="1"/>
      </rPr>
      <t>c</t>
    </r>
    <r>
      <rPr>
        <vertAlign val="subscript"/>
        <sz val="10"/>
        <rFont val="ＭＳ Ｐゴシック"/>
        <family val="3"/>
        <charset val="128"/>
      </rPr>
      <t xml:space="preserve"> </t>
    </r>
    <r>
      <rPr>
        <sz val="10"/>
        <rFont val="ＭＳ Ｐゴシック"/>
        <family val="3"/>
        <charset val="128"/>
      </rPr>
      <t>=</t>
    </r>
    <phoneticPr fontId="3"/>
  </si>
  <si>
    <r>
      <t>　　　</t>
    </r>
    <r>
      <rPr>
        <i/>
        <sz val="10"/>
        <rFont val="Symbol"/>
        <family val="1"/>
        <charset val="2"/>
      </rPr>
      <t>q</t>
    </r>
    <r>
      <rPr>
        <vertAlign val="subscript"/>
        <sz val="10"/>
        <rFont val="Century"/>
        <family val="1"/>
      </rPr>
      <t xml:space="preserve">s </t>
    </r>
    <r>
      <rPr>
        <sz val="10"/>
        <rFont val="ＭＳ Ｐゴシック"/>
        <family val="3"/>
        <charset val="128"/>
      </rPr>
      <t>：</t>
    </r>
    <r>
      <rPr>
        <sz val="10"/>
        <rFont val="ＭＳ Ｐゴシック"/>
        <family val="3"/>
        <charset val="128"/>
      </rPr>
      <t xml:space="preserve"> 仕上げすすぎタンクの水の初温</t>
    </r>
    <r>
      <rPr>
        <sz val="10"/>
        <rFont val="Century"/>
        <family val="1"/>
      </rPr>
      <t>[</t>
    </r>
    <r>
      <rPr>
        <sz val="10"/>
        <rFont val="ＭＳ Ｐゴシック"/>
        <family val="3"/>
        <charset val="128"/>
      </rPr>
      <t>℃</t>
    </r>
    <r>
      <rPr>
        <sz val="10"/>
        <rFont val="Century"/>
        <family val="1"/>
      </rPr>
      <t>]</t>
    </r>
    <phoneticPr fontId="3"/>
  </si>
  <si>
    <t>誤差</t>
    <rPh sb="0" eb="2">
      <t>ゴサ</t>
    </rPh>
    <phoneticPr fontId="3"/>
  </si>
  <si>
    <t>標準コンベア速度</t>
    <rPh sb="0" eb="2">
      <t>ヒョウジュン</t>
    </rPh>
    <phoneticPr fontId="3"/>
  </si>
  <si>
    <t>有効コンベア幅(mm)</t>
    <rPh sb="0" eb="2">
      <t>ユウコウ</t>
    </rPh>
    <rPh sb="6" eb="7">
      <t>ハバ</t>
    </rPh>
    <phoneticPr fontId="3"/>
  </si>
  <si>
    <r>
      <rPr>
        <i/>
        <sz val="10"/>
        <color indexed="8"/>
        <rFont val="Century"/>
        <family val="1"/>
      </rPr>
      <t>V</t>
    </r>
    <r>
      <rPr>
        <vertAlign val="subscript"/>
        <sz val="10"/>
        <color indexed="8"/>
        <rFont val="Century"/>
        <family val="1"/>
      </rPr>
      <t>m</t>
    </r>
    <r>
      <rPr>
        <sz val="10"/>
        <color indexed="8"/>
        <rFont val="ＭＳ Ｐゴシック"/>
        <family val="3"/>
        <charset val="128"/>
      </rPr>
      <t xml:space="preserve"> ： 最大処理量 [枚/m]</t>
    </r>
    <rPh sb="5" eb="7">
      <t>サイダイ</t>
    </rPh>
    <rPh sb="7" eb="9">
      <t>ショリ</t>
    </rPh>
    <rPh sb="9" eb="10">
      <t>リョウ</t>
    </rPh>
    <phoneticPr fontId="3"/>
  </si>
  <si>
    <r>
      <rPr>
        <i/>
        <sz val="10"/>
        <rFont val="Century"/>
        <family val="1"/>
      </rPr>
      <t>m</t>
    </r>
    <r>
      <rPr>
        <vertAlign val="subscript"/>
        <sz val="10"/>
        <rFont val="Century"/>
        <family val="1"/>
      </rPr>
      <t>d</t>
    </r>
    <r>
      <rPr>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試験食器の重量(kg/枚)</t>
    </r>
    <rPh sb="5" eb="7">
      <t>シケン</t>
    </rPh>
    <rPh sb="7" eb="9">
      <t>ショッキ</t>
    </rPh>
    <rPh sb="10" eb="12">
      <t>ジュウリョウ</t>
    </rPh>
    <rPh sb="16" eb="17">
      <t>マイ</t>
    </rPh>
    <phoneticPr fontId="3"/>
  </si>
  <si>
    <r>
      <rPr>
        <i/>
        <sz val="10"/>
        <rFont val="Century"/>
        <family val="1"/>
      </rPr>
      <t>C</t>
    </r>
    <r>
      <rPr>
        <vertAlign val="subscript"/>
        <sz val="10"/>
        <rFont val="Century"/>
        <family val="1"/>
      </rPr>
      <t>d</t>
    </r>
    <r>
      <rPr>
        <sz val="10"/>
        <rFont val="ＭＳ Ｐゴシック"/>
        <family val="3"/>
        <charset val="128"/>
      </rPr>
      <t xml:space="preserve"> ： 試験食器の比熱　1kJ/kg℃</t>
    </r>
    <rPh sb="5" eb="7">
      <t>シケン</t>
    </rPh>
    <rPh sb="7" eb="9">
      <t>ショッキ</t>
    </rPh>
    <rPh sb="10" eb="12">
      <t>ヒネツ</t>
    </rPh>
    <phoneticPr fontId="3"/>
  </si>
  <si>
    <t>（整数）</t>
    <rPh sb="1" eb="3">
      <t>セイスウ</t>
    </rPh>
    <phoneticPr fontId="3"/>
  </si>
  <si>
    <t>試験食器の直径(mm)</t>
    <rPh sb="0" eb="2">
      <t>シケン</t>
    </rPh>
    <rPh sb="2" eb="4">
      <t>ショッキ</t>
    </rPh>
    <rPh sb="5" eb="7">
      <t>チョッケイ</t>
    </rPh>
    <phoneticPr fontId="3"/>
  </si>
  <si>
    <t>1ラックあたりの試験食器の収納数(枚)</t>
    <rPh sb="17" eb="18">
      <t>マイ</t>
    </rPh>
    <phoneticPr fontId="3"/>
  </si>
  <si>
    <t>②処理時</t>
    <rPh sb="1" eb="3">
      <t>ショリ</t>
    </rPh>
    <rPh sb="3" eb="4">
      <t>ジ</t>
    </rPh>
    <phoneticPr fontId="3"/>
  </si>
  <si>
    <t>(枚/h )</t>
    <rPh sb="1" eb="2">
      <t>マイ</t>
    </rPh>
    <phoneticPr fontId="3"/>
  </si>
  <si>
    <t>(kWｈ/h)</t>
    <phoneticPr fontId="3"/>
  </si>
  <si>
    <t>（ℓ/h)</t>
    <phoneticPr fontId="3"/>
  </si>
  <si>
    <r>
      <rPr>
        <i/>
        <sz val="10"/>
        <rFont val="Century"/>
        <family val="1"/>
      </rPr>
      <t>P</t>
    </r>
    <r>
      <rPr>
        <vertAlign val="subscript"/>
        <sz val="10"/>
        <rFont val="Century"/>
        <family val="1"/>
      </rPr>
      <t xml:space="preserve">s </t>
    </r>
    <r>
      <rPr>
        <sz val="10"/>
        <rFont val="ＭＳ Ｐゴシック"/>
        <family val="3"/>
        <charset val="128"/>
      </rPr>
      <t>: 消費電力量[kWh/回]</t>
    </r>
    <phoneticPr fontId="3"/>
  </si>
  <si>
    <t>（ℓ）</t>
    <phoneticPr fontId="3"/>
  </si>
  <si>
    <r>
      <rPr>
        <i/>
        <sz val="10"/>
        <rFont val="Century"/>
        <family val="1"/>
      </rPr>
      <t>P</t>
    </r>
    <r>
      <rPr>
        <vertAlign val="subscript"/>
        <sz val="10"/>
        <rFont val="Century"/>
        <family val="1"/>
      </rPr>
      <t xml:space="preserve">i </t>
    </r>
    <r>
      <rPr>
        <sz val="10"/>
        <rFont val="ＭＳ Ｐゴシック"/>
        <family val="3"/>
        <charset val="128"/>
      </rPr>
      <t>： 消費電力量[kWh]</t>
    </r>
    <phoneticPr fontId="3"/>
  </si>
  <si>
    <t xml:space="preserve">       ①立上がり時</t>
    <rPh sb="8" eb="10">
      <t>タチア</t>
    </rPh>
    <rPh sb="12" eb="13">
      <t>ジ</t>
    </rPh>
    <phoneticPr fontId="3"/>
  </si>
  <si>
    <t xml:space="preserve">       ②処理時</t>
    <rPh sb="8" eb="10">
      <t>ショリ</t>
    </rPh>
    <rPh sb="10" eb="11">
      <t>ジ</t>
    </rPh>
    <phoneticPr fontId="3"/>
  </si>
  <si>
    <r>
      <t xml:space="preserve">C </t>
    </r>
    <r>
      <rPr>
        <sz val="10"/>
        <rFont val="ＭＳ Ｐゴシック"/>
        <family val="3"/>
        <charset val="128"/>
      </rPr>
      <t>=</t>
    </r>
    <phoneticPr fontId="3"/>
  </si>
  <si>
    <r>
      <t>C</t>
    </r>
    <r>
      <rPr>
        <vertAlign val="subscript"/>
        <sz val="10"/>
        <rFont val="Century"/>
        <family val="1"/>
      </rPr>
      <t>d</t>
    </r>
    <r>
      <rPr>
        <i/>
        <vertAlign val="subscript"/>
        <sz val="10"/>
        <rFont val="ＭＳ Ｐゴシック"/>
        <family val="3"/>
        <charset val="128"/>
      </rPr>
      <t xml:space="preserve"> </t>
    </r>
    <r>
      <rPr>
        <sz val="10"/>
        <rFont val="ＭＳ Ｐゴシック"/>
        <family val="3"/>
        <charset val="128"/>
      </rPr>
      <t>=</t>
    </r>
    <phoneticPr fontId="3"/>
  </si>
  <si>
    <r>
      <t>h</t>
    </r>
    <r>
      <rPr>
        <vertAlign val="subscript"/>
        <sz val="10"/>
        <rFont val="Century"/>
        <family val="1"/>
      </rPr>
      <t>i</t>
    </r>
    <r>
      <rPr>
        <sz val="10"/>
        <rFont val="ＭＳ Ｐゴシック"/>
        <family val="3"/>
        <charset val="128"/>
      </rPr>
      <t xml:space="preserve"> =</t>
    </r>
    <phoneticPr fontId="3"/>
  </si>
  <si>
    <r>
      <rPr>
        <i/>
        <sz val="10"/>
        <rFont val="Symbol"/>
        <family val="1"/>
        <charset val="2"/>
      </rPr>
      <t>q</t>
    </r>
    <r>
      <rPr>
        <vertAlign val="subscript"/>
        <sz val="10"/>
        <rFont val="Century"/>
        <family val="1"/>
      </rPr>
      <t xml:space="preserve">s </t>
    </r>
    <r>
      <rPr>
        <sz val="10"/>
        <rFont val="ＭＳ Ｐゴシック"/>
        <family val="3"/>
        <charset val="128"/>
      </rPr>
      <t>：</t>
    </r>
    <r>
      <rPr>
        <sz val="10"/>
        <rFont val="ＭＳ Ｐゴシック"/>
        <family val="3"/>
        <charset val="128"/>
      </rPr>
      <t xml:space="preserve"> 仕上げすすぎタンクの水の初温</t>
    </r>
    <r>
      <rPr>
        <sz val="10"/>
        <rFont val="Century"/>
        <family val="1"/>
      </rPr>
      <t>[</t>
    </r>
    <r>
      <rPr>
        <sz val="10"/>
        <rFont val="ＭＳ Ｐゴシック"/>
        <family val="3"/>
        <charset val="128"/>
      </rPr>
      <t>℃</t>
    </r>
    <r>
      <rPr>
        <sz val="10"/>
        <rFont val="Century"/>
        <family val="1"/>
      </rPr>
      <t>]</t>
    </r>
    <phoneticPr fontId="3"/>
  </si>
  <si>
    <t>特に規定しない。</t>
    <rPh sb="0" eb="1">
      <t>トク</t>
    </rPh>
    <rPh sb="2" eb="4">
      <t>キテイ</t>
    </rPh>
    <phoneticPr fontId="3"/>
  </si>
  <si>
    <t>(kWh/回)</t>
    <rPh sb="5" eb="6">
      <t>カイ</t>
    </rPh>
    <phoneticPr fontId="3"/>
  </si>
  <si>
    <t>(min)</t>
    <phoneticPr fontId="3"/>
  </si>
  <si>
    <r>
      <t>　　　</t>
    </r>
    <r>
      <rPr>
        <i/>
        <sz val="10"/>
        <rFont val="Century"/>
        <family val="1"/>
      </rPr>
      <t>p</t>
    </r>
    <r>
      <rPr>
        <vertAlign val="subscript"/>
        <sz val="10"/>
        <rFont val="Century"/>
        <family val="1"/>
      </rPr>
      <t xml:space="preserve">m </t>
    </r>
    <r>
      <rPr>
        <sz val="10"/>
        <rFont val="ＭＳ Ｐゴシック"/>
        <family val="3"/>
        <charset val="128"/>
      </rPr>
      <t>： 循環すすぎタンクのヒータ容量[kW]</t>
    </r>
    <phoneticPr fontId="3"/>
  </si>
  <si>
    <r>
      <rPr>
        <i/>
        <sz val="10"/>
        <color indexed="8"/>
        <rFont val="Century"/>
        <family val="1"/>
      </rPr>
      <t>S</t>
    </r>
    <r>
      <rPr>
        <vertAlign val="subscript"/>
        <sz val="10"/>
        <color indexed="8"/>
        <rFont val="Century"/>
        <family val="1"/>
      </rPr>
      <t>c</t>
    </r>
    <r>
      <rPr>
        <sz val="10"/>
        <color indexed="8"/>
        <rFont val="Century"/>
        <family val="1"/>
      </rPr>
      <t xml:space="preserve"> </t>
    </r>
    <r>
      <rPr>
        <sz val="10"/>
        <color indexed="8"/>
        <rFont val="ＭＳ Ｐゴシック"/>
        <family val="3"/>
        <charset val="128"/>
      </rPr>
      <t>：</t>
    </r>
    <r>
      <rPr>
        <sz val="10"/>
        <color indexed="8"/>
        <rFont val="Century"/>
        <family val="1"/>
      </rPr>
      <t xml:space="preserve"> </t>
    </r>
    <r>
      <rPr>
        <sz val="10"/>
        <color indexed="8"/>
        <rFont val="ＭＳ Ｐゴシック"/>
        <family val="3"/>
        <charset val="128"/>
      </rPr>
      <t>試験機器の標準コンベア速度 [m/min]</t>
    </r>
    <rPh sb="5" eb="7">
      <t>シケン</t>
    </rPh>
    <rPh sb="7" eb="9">
      <t>キキ</t>
    </rPh>
    <rPh sb="10" eb="12">
      <t>ヒョウジュン</t>
    </rPh>
    <rPh sb="16" eb="18">
      <t>ソクド</t>
    </rPh>
    <phoneticPr fontId="3"/>
  </si>
  <si>
    <r>
      <rPr>
        <i/>
        <sz val="10"/>
        <color indexed="8"/>
        <rFont val="Century"/>
        <family val="1"/>
      </rPr>
      <t>S</t>
    </r>
    <r>
      <rPr>
        <vertAlign val="subscript"/>
        <sz val="10"/>
        <color indexed="8"/>
        <rFont val="Century"/>
        <family val="1"/>
      </rPr>
      <t>c</t>
    </r>
    <r>
      <rPr>
        <sz val="10"/>
        <color indexed="8"/>
        <rFont val="Century"/>
        <family val="1"/>
      </rPr>
      <t xml:space="preserve"> </t>
    </r>
    <r>
      <rPr>
        <sz val="10"/>
        <color indexed="8"/>
        <rFont val="ＭＳ Ｐゴシック"/>
        <family val="3"/>
        <charset val="128"/>
      </rPr>
      <t>：</t>
    </r>
    <r>
      <rPr>
        <sz val="10"/>
        <color indexed="8"/>
        <rFont val="Century"/>
        <family val="1"/>
      </rPr>
      <t xml:space="preserve"> </t>
    </r>
    <r>
      <rPr>
        <sz val="10"/>
        <color indexed="8"/>
        <rFont val="ＭＳ Ｐゴシック"/>
        <family val="3"/>
        <charset val="128"/>
      </rPr>
      <t>試験機器の標準コンベア速度</t>
    </r>
    <r>
      <rPr>
        <sz val="10"/>
        <color indexed="8"/>
        <rFont val="ＭＳ Ｐゴシック"/>
        <family val="3"/>
        <charset val="128"/>
      </rPr>
      <t>[m/min]</t>
    </r>
    <rPh sb="5" eb="7">
      <t>シケン</t>
    </rPh>
    <rPh sb="7" eb="9">
      <t>キキ</t>
    </rPh>
    <rPh sb="10" eb="12">
      <t>ヒョウジュン</t>
    </rPh>
    <rPh sb="16" eb="18">
      <t>ソクド</t>
    </rPh>
    <phoneticPr fontId="3"/>
  </si>
  <si>
    <r>
      <rPr>
        <i/>
        <sz val="10"/>
        <rFont val="Century"/>
        <family val="1"/>
      </rPr>
      <t>W</t>
    </r>
    <r>
      <rPr>
        <vertAlign val="subscript"/>
        <sz val="10"/>
        <rFont val="Century"/>
        <family val="1"/>
      </rPr>
      <t>r</t>
    </r>
    <r>
      <rPr>
        <sz val="10"/>
        <rFont val="ＭＳ Ｐゴシック"/>
        <family val="3"/>
        <charset val="128"/>
      </rPr>
      <t xml:space="preserve"> : 仕上げすすぎタンクの貯湯量[ℓ/回]</t>
    </r>
    <rPh sb="21" eb="22">
      <t>カイ</t>
    </rPh>
    <phoneticPr fontId="3"/>
  </si>
  <si>
    <t>(ℓ/回）</t>
    <rPh sb="3" eb="4">
      <t>カイ</t>
    </rPh>
    <phoneticPr fontId="3"/>
  </si>
  <si>
    <r>
      <rPr>
        <i/>
        <sz val="10"/>
        <rFont val="Century"/>
        <family val="1"/>
      </rPr>
      <t>W</t>
    </r>
    <r>
      <rPr>
        <vertAlign val="subscript"/>
        <sz val="10"/>
        <rFont val="Century"/>
        <family val="1"/>
      </rPr>
      <t>c</t>
    </r>
    <r>
      <rPr>
        <sz val="10"/>
        <rFont val="Century"/>
        <family val="1"/>
      </rPr>
      <t xml:space="preserve"> </t>
    </r>
    <r>
      <rPr>
        <sz val="10"/>
        <rFont val="ＭＳ Ｐゴシック"/>
        <family val="3"/>
        <charset val="128"/>
      </rPr>
      <t>：</t>
    </r>
    <r>
      <rPr>
        <sz val="10"/>
        <rFont val="Century"/>
        <family val="1"/>
      </rPr>
      <t xml:space="preserve"> </t>
    </r>
    <r>
      <rPr>
        <sz val="10"/>
        <rFont val="ＭＳ Ｐゴシック"/>
        <family val="3"/>
        <charset val="128"/>
      </rPr>
      <t>処理時給湯量</t>
    </r>
    <r>
      <rPr>
        <sz val="10"/>
        <rFont val="ＭＳ Ｐゴシック"/>
        <family val="3"/>
        <charset val="128"/>
      </rPr>
      <t>[ℓ/h]</t>
    </r>
    <phoneticPr fontId="3"/>
  </si>
  <si>
    <t>(kg/枚)</t>
    <rPh sb="4" eb="5">
      <t>マイ</t>
    </rPh>
    <phoneticPr fontId="3"/>
  </si>
  <si>
    <r>
      <t xml:space="preserve"> θ</t>
    </r>
    <r>
      <rPr>
        <vertAlign val="subscript"/>
        <sz val="10"/>
        <rFont val="Century"/>
        <family val="1"/>
      </rPr>
      <t>s</t>
    </r>
    <r>
      <rPr>
        <sz val="10"/>
        <rFont val="ＭＳ Ｐゴシック"/>
        <family val="3"/>
        <charset val="128"/>
      </rPr>
      <t xml:space="preserve"> = </t>
    </r>
    <phoneticPr fontId="3"/>
  </si>
  <si>
    <r>
      <t>P</t>
    </r>
    <r>
      <rPr>
        <vertAlign val="subscript"/>
        <sz val="10"/>
        <rFont val="Century"/>
        <family val="1"/>
      </rPr>
      <t xml:space="preserve">c0 </t>
    </r>
    <r>
      <rPr>
        <sz val="10"/>
        <rFont val="ＭＳ Ｐゴシック"/>
        <family val="3"/>
        <charset val="128"/>
      </rPr>
      <t>=</t>
    </r>
    <phoneticPr fontId="3"/>
  </si>
  <si>
    <r>
      <t>T</t>
    </r>
    <r>
      <rPr>
        <vertAlign val="subscript"/>
        <sz val="10"/>
        <rFont val="Century"/>
        <family val="1"/>
      </rPr>
      <t xml:space="preserve">c0 </t>
    </r>
    <r>
      <rPr>
        <sz val="10"/>
        <rFont val="ＭＳ Ｐゴシック"/>
        <family val="3"/>
        <charset val="128"/>
      </rPr>
      <t>=</t>
    </r>
    <phoneticPr fontId="3"/>
  </si>
  <si>
    <r>
      <t>W</t>
    </r>
    <r>
      <rPr>
        <vertAlign val="subscript"/>
        <sz val="10"/>
        <rFont val="Century"/>
        <family val="1"/>
      </rPr>
      <t xml:space="preserve">c </t>
    </r>
    <r>
      <rPr>
        <sz val="10"/>
        <rFont val="ＭＳ Ｐゴシック"/>
        <family val="3"/>
        <charset val="128"/>
      </rPr>
      <t>=</t>
    </r>
    <phoneticPr fontId="3"/>
  </si>
  <si>
    <r>
      <rPr>
        <i/>
        <sz val="10"/>
        <rFont val="Century"/>
        <family val="1"/>
      </rPr>
      <t>T</t>
    </r>
    <r>
      <rPr>
        <vertAlign val="subscript"/>
        <sz val="10"/>
        <rFont val="Century"/>
        <family val="1"/>
      </rPr>
      <t xml:space="preserve">c0 </t>
    </r>
    <r>
      <rPr>
        <sz val="10"/>
        <rFont val="ＭＳ Ｐゴシック"/>
        <family val="3"/>
        <charset val="128"/>
      </rPr>
      <t>： 消費電力量の測定時間</t>
    </r>
    <r>
      <rPr>
        <sz val="10"/>
        <rFont val="ＭＳ Ｐゴシック"/>
        <family val="3"/>
        <charset val="128"/>
      </rPr>
      <t>[min]</t>
    </r>
    <phoneticPr fontId="3"/>
  </si>
  <si>
    <r>
      <t>V</t>
    </r>
    <r>
      <rPr>
        <vertAlign val="subscript"/>
        <sz val="10"/>
        <rFont val="Century"/>
        <family val="1"/>
      </rPr>
      <t>c</t>
    </r>
    <r>
      <rPr>
        <sz val="10"/>
        <rFont val="ＭＳ Ｐゴシック"/>
        <family val="3"/>
        <charset val="128"/>
      </rPr>
      <t xml:space="preserve"> =</t>
    </r>
    <phoneticPr fontId="3"/>
  </si>
  <si>
    <r>
      <t>h</t>
    </r>
    <r>
      <rPr>
        <vertAlign val="subscript"/>
        <sz val="10"/>
        <rFont val="Century"/>
        <family val="1"/>
      </rPr>
      <t>c</t>
    </r>
    <r>
      <rPr>
        <sz val="10"/>
        <rFont val="ＭＳ Ｐゴシック"/>
        <family val="3"/>
        <charset val="128"/>
      </rPr>
      <t xml:space="preserve"> =</t>
    </r>
    <phoneticPr fontId="3"/>
  </si>
  <si>
    <t>①立上り時</t>
    <rPh sb="1" eb="3">
      <t>タチアガ</t>
    </rPh>
    <rPh sb="4" eb="5">
      <t>ジ</t>
    </rPh>
    <phoneticPr fontId="3"/>
  </si>
  <si>
    <t>②試験食器なし処理時</t>
    <rPh sb="1" eb="3">
      <t>シケン</t>
    </rPh>
    <rPh sb="3" eb="5">
      <t>ショッキ</t>
    </rPh>
    <rPh sb="7" eb="9">
      <t>ショリ</t>
    </rPh>
    <rPh sb="9" eb="10">
      <t>ジ</t>
    </rPh>
    <phoneticPr fontId="3"/>
  </si>
  <si>
    <t>③処理時</t>
    <rPh sb="1" eb="3">
      <t>ショリ</t>
    </rPh>
    <rPh sb="3" eb="4">
      <t>ジ</t>
    </rPh>
    <phoneticPr fontId="3"/>
  </si>
  <si>
    <t>④待機時</t>
    <rPh sb="1" eb="3">
      <t>タイキ</t>
    </rPh>
    <rPh sb="3" eb="4">
      <t>トキ</t>
    </rPh>
    <phoneticPr fontId="3"/>
  </si>
  <si>
    <t>⑤日あたり消費電力量</t>
    <rPh sb="5" eb="7">
      <t>ショウヒ</t>
    </rPh>
    <rPh sb="7" eb="10">
      <t>デンリョクリョウ</t>
    </rPh>
    <phoneticPr fontId="3"/>
  </si>
  <si>
    <r>
      <rPr>
        <i/>
        <sz val="10"/>
        <rFont val="Century"/>
        <family val="1"/>
      </rPr>
      <t>T</t>
    </r>
    <r>
      <rPr>
        <vertAlign val="subscript"/>
        <sz val="10"/>
        <rFont val="Century"/>
        <family val="1"/>
      </rPr>
      <t xml:space="preserve">i </t>
    </r>
    <r>
      <rPr>
        <sz val="10"/>
        <rFont val="ＭＳ Ｐゴシック"/>
        <family val="3"/>
        <charset val="128"/>
      </rPr>
      <t>： 消費電力量の測定時間[min]</t>
    </r>
    <phoneticPr fontId="3"/>
  </si>
  <si>
    <t>（ℓ/回）</t>
    <rPh sb="3" eb="4">
      <t>カイ</t>
    </rPh>
    <phoneticPr fontId="3"/>
  </si>
  <si>
    <r>
      <t>W</t>
    </r>
    <r>
      <rPr>
        <vertAlign val="subscript"/>
        <sz val="14"/>
        <rFont val="Century"/>
        <family val="1"/>
      </rPr>
      <t>dH</t>
    </r>
    <phoneticPr fontId="3"/>
  </si>
  <si>
    <t>規定なし</t>
    <rPh sb="0" eb="2">
      <t>キテイ</t>
    </rPh>
    <phoneticPr fontId="3"/>
  </si>
  <si>
    <t>③待機時</t>
    <rPh sb="1" eb="3">
      <t>タイキ</t>
    </rPh>
    <rPh sb="3" eb="4">
      <t>ジ</t>
    </rPh>
    <phoneticPr fontId="3"/>
  </si>
  <si>
    <r>
      <rPr>
        <i/>
        <sz val="10"/>
        <color indexed="8"/>
        <rFont val="Century"/>
        <family val="1"/>
      </rPr>
      <t>V</t>
    </r>
    <r>
      <rPr>
        <vertAlign val="subscript"/>
        <sz val="10"/>
        <color indexed="8"/>
        <rFont val="Century"/>
        <family val="1"/>
      </rPr>
      <t>c</t>
    </r>
    <r>
      <rPr>
        <sz val="10"/>
        <color indexed="8"/>
        <rFont val="Century"/>
        <family val="1"/>
      </rPr>
      <t xml:space="preserve"> </t>
    </r>
    <r>
      <rPr>
        <sz val="10"/>
        <color indexed="8"/>
        <rFont val="ＭＳ Ｐゴシック"/>
        <family val="3"/>
        <charset val="128"/>
      </rPr>
      <t>：</t>
    </r>
    <r>
      <rPr>
        <sz val="10"/>
        <color indexed="8"/>
        <rFont val="Century"/>
        <family val="1"/>
      </rPr>
      <t xml:space="preserve"> </t>
    </r>
    <r>
      <rPr>
        <sz val="10"/>
        <color indexed="8"/>
        <rFont val="ＭＳ Ｐゴシック"/>
        <family val="3"/>
        <charset val="128"/>
      </rPr>
      <t>連続処理能力</t>
    </r>
    <r>
      <rPr>
        <sz val="10"/>
        <color indexed="8"/>
        <rFont val="Century"/>
        <family val="1"/>
      </rPr>
      <t xml:space="preserve"> [</t>
    </r>
    <r>
      <rPr>
        <sz val="10"/>
        <color indexed="8"/>
        <rFont val="ＭＳ Ｐゴシック"/>
        <family val="3"/>
        <charset val="128"/>
      </rPr>
      <t>枚</t>
    </r>
    <r>
      <rPr>
        <sz val="10"/>
        <color indexed="8"/>
        <rFont val="ＭＳ Ｐゴシック"/>
        <family val="3"/>
        <charset val="128"/>
      </rPr>
      <t>/h</t>
    </r>
    <r>
      <rPr>
        <sz val="10"/>
        <color indexed="8"/>
        <rFont val="Century"/>
        <family val="1"/>
      </rPr>
      <t>]</t>
    </r>
    <rPh sb="5" eb="7">
      <t>レンゾク</t>
    </rPh>
    <rPh sb="7" eb="9">
      <t>ショリ</t>
    </rPh>
    <rPh sb="9" eb="11">
      <t>ノウリョク</t>
    </rPh>
    <rPh sb="13" eb="14">
      <t>マイ</t>
    </rPh>
    <phoneticPr fontId="3"/>
  </si>
  <si>
    <r>
      <rPr>
        <i/>
        <sz val="10"/>
        <color indexed="8"/>
        <rFont val="Century"/>
        <family val="1"/>
      </rPr>
      <t>V</t>
    </r>
    <r>
      <rPr>
        <vertAlign val="subscript"/>
        <sz val="10"/>
        <color indexed="8"/>
        <rFont val="Century"/>
        <family val="1"/>
      </rPr>
      <t>c</t>
    </r>
    <r>
      <rPr>
        <sz val="10"/>
        <color indexed="8"/>
        <rFont val="Century"/>
        <family val="1"/>
      </rPr>
      <t xml:space="preserve"> </t>
    </r>
    <r>
      <rPr>
        <sz val="10"/>
        <color indexed="8"/>
        <rFont val="ＭＳ Ｐゴシック"/>
        <family val="3"/>
        <charset val="128"/>
      </rPr>
      <t>：</t>
    </r>
    <r>
      <rPr>
        <sz val="10"/>
        <color indexed="8"/>
        <rFont val="Century"/>
        <family val="1"/>
      </rPr>
      <t xml:space="preserve"> </t>
    </r>
    <r>
      <rPr>
        <sz val="10"/>
        <color indexed="8"/>
        <rFont val="ＭＳ Ｐゴシック"/>
        <family val="3"/>
        <charset val="128"/>
      </rPr>
      <t>連続処理能力</t>
    </r>
    <r>
      <rPr>
        <sz val="10"/>
        <color indexed="8"/>
        <rFont val="ＭＳ Ｐゴシック"/>
        <family val="3"/>
        <charset val="128"/>
      </rPr>
      <t xml:space="preserve"> [枚/h]</t>
    </r>
    <rPh sb="5" eb="7">
      <t>レンゾク</t>
    </rPh>
    <rPh sb="7" eb="9">
      <t>ショリ</t>
    </rPh>
    <rPh sb="9" eb="11">
      <t>ノウリョク</t>
    </rPh>
    <rPh sb="13" eb="14">
      <t>マイ</t>
    </rPh>
    <phoneticPr fontId="3"/>
  </si>
  <si>
    <r>
      <t xml:space="preserve">     </t>
    </r>
    <r>
      <rPr>
        <i/>
        <sz val="10"/>
        <rFont val="Century"/>
        <family val="1"/>
      </rPr>
      <t>W</t>
    </r>
    <r>
      <rPr>
        <vertAlign val="subscript"/>
        <sz val="10"/>
        <rFont val="Century"/>
        <family val="1"/>
      </rPr>
      <t>m</t>
    </r>
    <r>
      <rPr>
        <sz val="10"/>
        <rFont val="ＭＳ Ｐゴシック"/>
        <family val="3"/>
        <charset val="128"/>
      </rPr>
      <t xml:space="preserve"> ： 循環すすぎタンクの貯湯量[ℓ]</t>
    </r>
    <phoneticPr fontId="3"/>
  </si>
  <si>
    <r>
      <t>W</t>
    </r>
    <r>
      <rPr>
        <vertAlign val="subscript"/>
        <sz val="10"/>
        <rFont val="Century"/>
        <family val="1"/>
      </rPr>
      <t>c</t>
    </r>
    <r>
      <rPr>
        <vertAlign val="subscript"/>
        <sz val="10"/>
        <rFont val="ＭＳ Ｐゴシック"/>
        <family val="3"/>
        <charset val="128"/>
      </rPr>
      <t xml:space="preserve"> </t>
    </r>
    <r>
      <rPr>
        <sz val="10"/>
        <rFont val="ＭＳ Ｐゴシック"/>
        <family val="3"/>
        <charset val="128"/>
      </rPr>
      <t>=</t>
    </r>
    <phoneticPr fontId="3"/>
  </si>
  <si>
    <r>
      <rPr>
        <i/>
        <sz val="14"/>
        <rFont val="Century"/>
        <family val="1"/>
      </rPr>
      <t xml:space="preserve">  W</t>
    </r>
    <r>
      <rPr>
        <vertAlign val="subscript"/>
        <sz val="14"/>
        <rFont val="Century"/>
        <family val="1"/>
      </rPr>
      <t>dH</t>
    </r>
    <r>
      <rPr>
        <vertAlign val="subscript"/>
        <sz val="10"/>
        <rFont val="ＭＳ Ｐゴシック"/>
        <family val="3"/>
        <charset val="128"/>
      </rPr>
      <t xml:space="preserve"> </t>
    </r>
    <r>
      <rPr>
        <sz val="10"/>
        <rFont val="ＭＳ Ｐゴシック"/>
        <family val="3"/>
        <charset val="128"/>
      </rPr>
      <t>=</t>
    </r>
    <phoneticPr fontId="3"/>
  </si>
  <si>
    <r>
      <t>p</t>
    </r>
    <r>
      <rPr>
        <vertAlign val="subscript"/>
        <sz val="10"/>
        <rFont val="Century"/>
        <family val="1"/>
      </rPr>
      <t>m</t>
    </r>
    <r>
      <rPr>
        <sz val="10"/>
        <rFont val="Century"/>
        <family val="1"/>
      </rPr>
      <t xml:space="preserve"> </t>
    </r>
    <r>
      <rPr>
        <sz val="10"/>
        <rFont val="ＭＳ Ｐゴシック"/>
        <family val="3"/>
        <charset val="128"/>
      </rPr>
      <t>=</t>
    </r>
    <phoneticPr fontId="3"/>
  </si>
  <si>
    <r>
      <t>p</t>
    </r>
    <r>
      <rPr>
        <vertAlign val="subscript"/>
        <sz val="10"/>
        <rFont val="Century"/>
        <family val="1"/>
      </rPr>
      <t>f</t>
    </r>
    <r>
      <rPr>
        <i/>
        <sz val="10"/>
        <rFont val="Century"/>
        <family val="1"/>
      </rPr>
      <t xml:space="preserve"> </t>
    </r>
    <r>
      <rPr>
        <sz val="10"/>
        <rFont val="ＭＳ Ｐゴシック"/>
        <family val="3"/>
        <charset val="128"/>
      </rPr>
      <t>=</t>
    </r>
    <phoneticPr fontId="3"/>
  </si>
  <si>
    <r>
      <t xml:space="preserve"> θ</t>
    </r>
    <r>
      <rPr>
        <vertAlign val="subscript"/>
        <sz val="10"/>
        <rFont val="Century"/>
        <family val="1"/>
      </rPr>
      <t>s</t>
    </r>
    <r>
      <rPr>
        <i/>
        <sz val="10"/>
        <rFont val="Century"/>
        <family val="1"/>
      </rPr>
      <t xml:space="preserve">  </t>
    </r>
    <r>
      <rPr>
        <sz val="10"/>
        <rFont val="ＭＳ Ｐゴシック"/>
        <family val="3"/>
        <charset val="128"/>
      </rPr>
      <t>=</t>
    </r>
    <r>
      <rPr>
        <sz val="10"/>
        <rFont val="Century"/>
        <family val="1"/>
      </rPr>
      <t xml:space="preserve"> </t>
    </r>
    <phoneticPr fontId="3"/>
  </si>
  <si>
    <r>
      <t>T</t>
    </r>
    <r>
      <rPr>
        <vertAlign val="subscript"/>
        <sz val="10"/>
        <rFont val="Century"/>
        <family val="1"/>
      </rPr>
      <t>4</t>
    </r>
    <r>
      <rPr>
        <i/>
        <sz val="10"/>
        <rFont val="Century"/>
        <family val="1"/>
      </rPr>
      <t xml:space="preserve"> </t>
    </r>
    <r>
      <rPr>
        <sz val="10"/>
        <rFont val="ＭＳ Ｐゴシック"/>
        <family val="3"/>
        <charset val="128"/>
      </rPr>
      <t>=</t>
    </r>
    <r>
      <rPr>
        <sz val="10"/>
        <rFont val="Century"/>
        <family val="1"/>
      </rPr>
      <t xml:space="preserve"> </t>
    </r>
    <phoneticPr fontId="3"/>
  </si>
  <si>
    <r>
      <t>T</t>
    </r>
    <r>
      <rPr>
        <vertAlign val="subscript"/>
        <sz val="10"/>
        <rFont val="Century"/>
        <family val="1"/>
      </rPr>
      <t>1</t>
    </r>
    <r>
      <rPr>
        <i/>
        <sz val="10"/>
        <rFont val="Century"/>
        <family val="1"/>
      </rPr>
      <t xml:space="preserve"> </t>
    </r>
    <r>
      <rPr>
        <sz val="10"/>
        <rFont val="ＭＳ Ｐゴシック"/>
        <family val="3"/>
        <charset val="128"/>
      </rPr>
      <t xml:space="preserve">= </t>
    </r>
    <phoneticPr fontId="3"/>
  </si>
  <si>
    <r>
      <t>T</t>
    </r>
    <r>
      <rPr>
        <vertAlign val="subscript"/>
        <sz val="10"/>
        <rFont val="Century"/>
        <family val="1"/>
      </rPr>
      <t>2</t>
    </r>
    <r>
      <rPr>
        <i/>
        <sz val="10"/>
        <rFont val="Century"/>
        <family val="1"/>
      </rPr>
      <t xml:space="preserve"> </t>
    </r>
    <r>
      <rPr>
        <sz val="10"/>
        <rFont val="ＭＳ Ｐゴシック"/>
        <family val="3"/>
        <charset val="128"/>
      </rPr>
      <t>=</t>
    </r>
    <r>
      <rPr>
        <sz val="10"/>
        <rFont val="Century"/>
        <family val="1"/>
      </rPr>
      <t xml:space="preserve"> </t>
    </r>
    <phoneticPr fontId="3"/>
  </si>
  <si>
    <r>
      <t>T</t>
    </r>
    <r>
      <rPr>
        <vertAlign val="subscript"/>
        <sz val="10"/>
        <rFont val="Century"/>
        <family val="1"/>
      </rPr>
      <t>3</t>
    </r>
    <r>
      <rPr>
        <i/>
        <sz val="10"/>
        <rFont val="Century"/>
        <family val="1"/>
      </rPr>
      <t xml:space="preserve"> </t>
    </r>
    <r>
      <rPr>
        <sz val="10"/>
        <rFont val="ＭＳ Ｐゴシック"/>
        <family val="3"/>
        <charset val="128"/>
      </rPr>
      <t>=</t>
    </r>
    <r>
      <rPr>
        <sz val="10"/>
        <rFont val="Century"/>
        <family val="1"/>
      </rPr>
      <t xml:space="preserve"> </t>
    </r>
    <phoneticPr fontId="3"/>
  </si>
  <si>
    <t>（回/日）</t>
    <phoneticPr fontId="3"/>
  </si>
  <si>
    <t>ポイント等</t>
  </si>
  <si>
    <t>貯湯量（ℓ）</t>
    <rPh sb="0" eb="1">
      <t>チョ</t>
    </rPh>
    <rPh sb="1" eb="2">
      <t>トウ</t>
    </rPh>
    <rPh sb="2" eb="3">
      <t>リョウ</t>
    </rPh>
    <phoneticPr fontId="3"/>
  </si>
  <si>
    <t>仕上げすすぎタンクの
有/無</t>
    <rPh sb="11" eb="12">
      <t>ア</t>
    </rPh>
    <rPh sb="13" eb="14">
      <t>ム</t>
    </rPh>
    <phoneticPr fontId="3"/>
  </si>
  <si>
    <t>外形寸法(mm)</t>
    <rPh sb="0" eb="2">
      <t>ガイケイ</t>
    </rPh>
    <rPh sb="2" eb="4">
      <t>スンポウ</t>
    </rPh>
    <phoneticPr fontId="3"/>
  </si>
  <si>
    <t>コンベア進行方向のラック長さ(mm)</t>
    <rPh sb="4" eb="6">
      <t>シンコウ</t>
    </rPh>
    <rPh sb="6" eb="8">
      <t>ホウコウ</t>
    </rPh>
    <rPh sb="12" eb="13">
      <t>ナガ</t>
    </rPh>
    <phoneticPr fontId="3"/>
  </si>
  <si>
    <r>
      <rPr>
        <i/>
        <sz val="10"/>
        <rFont val="Century"/>
        <family val="1"/>
      </rPr>
      <t>T</t>
    </r>
    <r>
      <rPr>
        <vertAlign val="subscript"/>
        <sz val="10"/>
        <rFont val="Century"/>
        <family val="1"/>
      </rPr>
      <t>1</t>
    </r>
    <r>
      <rPr>
        <vertAlign val="subscript"/>
        <sz val="10"/>
        <rFont val="ＭＳ Ｐゴシック"/>
        <family val="3"/>
        <charset val="128"/>
      </rPr>
      <t>、</t>
    </r>
    <r>
      <rPr>
        <i/>
        <sz val="10"/>
        <rFont val="Century"/>
        <family val="1"/>
      </rPr>
      <t>T</t>
    </r>
    <r>
      <rPr>
        <vertAlign val="subscript"/>
        <sz val="10"/>
        <rFont val="Century"/>
        <family val="1"/>
      </rPr>
      <t>2</t>
    </r>
    <r>
      <rPr>
        <vertAlign val="subscript"/>
        <sz val="10"/>
        <rFont val="ＭＳ Ｐゴシック"/>
        <family val="3"/>
        <charset val="128"/>
      </rPr>
      <t>、</t>
    </r>
    <r>
      <rPr>
        <i/>
        <sz val="10"/>
        <rFont val="Century"/>
        <family val="1"/>
      </rPr>
      <t>T</t>
    </r>
    <r>
      <rPr>
        <vertAlign val="subscript"/>
        <sz val="10"/>
        <rFont val="Century"/>
        <family val="1"/>
      </rPr>
      <t>3</t>
    </r>
    <r>
      <rPr>
        <vertAlign val="subscript"/>
        <sz val="10"/>
        <rFont val="ＭＳ Ｐゴシック"/>
        <family val="3"/>
        <charset val="128"/>
      </rPr>
      <t>、</t>
    </r>
    <r>
      <rPr>
        <i/>
        <sz val="10"/>
        <rFont val="Century"/>
        <family val="1"/>
      </rPr>
      <t>T</t>
    </r>
    <r>
      <rPr>
        <vertAlign val="subscript"/>
        <sz val="10"/>
        <rFont val="Century"/>
        <family val="1"/>
      </rPr>
      <t>4</t>
    </r>
    <r>
      <rPr>
        <sz val="10"/>
        <rFont val="ＭＳ Ｐゴシック"/>
        <family val="3"/>
        <charset val="128"/>
      </rPr>
      <t>の最大値</t>
    </r>
    <rPh sb="12" eb="15">
      <t>サイダイチ</t>
    </rPh>
    <phoneticPr fontId="3"/>
  </si>
  <si>
    <r>
      <t xml:space="preserve">      </t>
    </r>
    <r>
      <rPr>
        <i/>
        <sz val="10"/>
        <rFont val="Century"/>
        <family val="1"/>
      </rPr>
      <t>W</t>
    </r>
    <r>
      <rPr>
        <vertAlign val="subscript"/>
        <sz val="10"/>
        <rFont val="Century"/>
        <family val="1"/>
      </rPr>
      <t>f</t>
    </r>
    <r>
      <rPr>
        <sz val="10"/>
        <rFont val="ＭＳ Ｐゴシック"/>
        <family val="3"/>
        <charset val="128"/>
      </rPr>
      <t xml:space="preserve"> ： 洗浄タンクの貯湯量[ℓ]</t>
    </r>
    <phoneticPr fontId="3"/>
  </si>
  <si>
    <r>
      <t>　　　</t>
    </r>
    <r>
      <rPr>
        <i/>
        <sz val="10"/>
        <rFont val="Century"/>
        <family val="1"/>
      </rPr>
      <t>p</t>
    </r>
    <r>
      <rPr>
        <vertAlign val="subscript"/>
        <sz val="10"/>
        <rFont val="Century"/>
        <family val="1"/>
      </rPr>
      <t xml:space="preserve">f </t>
    </r>
    <r>
      <rPr>
        <sz val="10"/>
        <rFont val="ＭＳ Ｐゴシック"/>
        <family val="3"/>
        <charset val="128"/>
      </rPr>
      <t>： 洗浄タンクのヒータ容量[kW]</t>
    </r>
    <phoneticPr fontId="3"/>
  </si>
  <si>
    <t>①予備洗浄タンクの立上り性能</t>
    <rPh sb="1" eb="3">
      <t>ヨビ</t>
    </rPh>
    <rPh sb="3" eb="5">
      <t>センジョウ</t>
    </rPh>
    <rPh sb="9" eb="10">
      <t>タ</t>
    </rPh>
    <rPh sb="10" eb="11">
      <t>ア</t>
    </rPh>
    <rPh sb="12" eb="14">
      <t>セイノウ</t>
    </rPh>
    <phoneticPr fontId="3"/>
  </si>
  <si>
    <t>②洗浄タンクの立上り性能</t>
    <rPh sb="1" eb="3">
      <t>センジョウ</t>
    </rPh>
    <rPh sb="7" eb="8">
      <t>タ</t>
    </rPh>
    <rPh sb="8" eb="9">
      <t>ア</t>
    </rPh>
    <rPh sb="10" eb="12">
      <t>セイノウ</t>
    </rPh>
    <phoneticPr fontId="3"/>
  </si>
  <si>
    <r>
      <rPr>
        <sz val="10"/>
        <rFont val="ＭＳ Ｐ明朝"/>
        <family val="1"/>
        <charset val="128"/>
      </rPr>
      <t>Δ</t>
    </r>
    <r>
      <rPr>
        <i/>
        <sz val="10"/>
        <rFont val="Symbol"/>
        <family val="1"/>
        <charset val="2"/>
      </rPr>
      <t>q</t>
    </r>
    <r>
      <rPr>
        <vertAlign val="subscript"/>
        <sz val="10"/>
        <rFont val="Century"/>
        <family val="1"/>
      </rPr>
      <t>d</t>
    </r>
    <r>
      <rPr>
        <sz val="10"/>
        <rFont val="ＭＳ Ｐゴシック"/>
        <family val="3"/>
        <charset val="128"/>
      </rPr>
      <t xml:space="preserve"> =</t>
    </r>
    <phoneticPr fontId="3"/>
  </si>
  <si>
    <r>
      <rPr>
        <i/>
        <sz val="10"/>
        <rFont val="Century"/>
        <family val="1"/>
      </rPr>
      <t>C</t>
    </r>
    <r>
      <rPr>
        <vertAlign val="subscript"/>
        <sz val="10"/>
        <rFont val="Century"/>
        <family val="1"/>
      </rPr>
      <t xml:space="preserve">d </t>
    </r>
    <r>
      <rPr>
        <sz val="10"/>
        <rFont val="ＭＳ Ｐゴシック"/>
        <family val="3"/>
        <charset val="128"/>
      </rPr>
      <t>： 試験食器の比熱　[kJ/kg ℃]</t>
    </r>
    <phoneticPr fontId="3"/>
  </si>
  <si>
    <r>
      <rPr>
        <i/>
        <sz val="12"/>
        <rFont val="Century"/>
        <family val="1"/>
      </rPr>
      <t>P</t>
    </r>
    <r>
      <rPr>
        <vertAlign val="subscript"/>
        <sz val="12"/>
        <rFont val="ＭＳ Ｐ明朝"/>
        <family val="1"/>
        <charset val="128"/>
      </rPr>
      <t>ｓ</t>
    </r>
    <r>
      <rPr>
        <sz val="10"/>
        <rFont val="Century"/>
        <family val="1"/>
      </rPr>
      <t xml:space="preserve"> =</t>
    </r>
    <phoneticPr fontId="3"/>
  </si>
  <si>
    <r>
      <rPr>
        <i/>
        <sz val="10"/>
        <rFont val="Century"/>
        <family val="1"/>
      </rPr>
      <t>P</t>
    </r>
    <r>
      <rPr>
        <vertAlign val="subscript"/>
        <sz val="10"/>
        <rFont val="Century"/>
        <family val="1"/>
      </rPr>
      <t xml:space="preserve">c0 </t>
    </r>
    <r>
      <rPr>
        <sz val="10"/>
        <rFont val="ＭＳ Ｐゴシック"/>
        <family val="3"/>
        <charset val="128"/>
      </rPr>
      <t>：消費電力量</t>
    </r>
    <r>
      <rPr>
        <sz val="10"/>
        <rFont val="ＭＳ Ｐゴシック"/>
        <family val="3"/>
        <charset val="128"/>
      </rPr>
      <t>[kWh]</t>
    </r>
    <phoneticPr fontId="3"/>
  </si>
  <si>
    <t>(kW)</t>
    <phoneticPr fontId="3"/>
  </si>
  <si>
    <t>2.熱効率</t>
    <rPh sb="2" eb="3">
      <t>ネツ</t>
    </rPh>
    <rPh sb="3" eb="5">
      <t>コウリツ</t>
    </rPh>
    <phoneticPr fontId="3"/>
  </si>
  <si>
    <t>3.立上り性能</t>
    <phoneticPr fontId="3"/>
  </si>
  <si>
    <t>4.処理能力</t>
    <phoneticPr fontId="3"/>
  </si>
  <si>
    <r>
      <t>5.消費</t>
    </r>
    <r>
      <rPr>
        <sz val="11"/>
        <rFont val="ＭＳ Ｐゴシック"/>
        <family val="3"/>
        <charset val="128"/>
      </rPr>
      <t>電力量</t>
    </r>
    <rPh sb="2" eb="4">
      <t>ショウヒ</t>
    </rPh>
    <rPh sb="4" eb="7">
      <t>デンリョクリョウ</t>
    </rPh>
    <phoneticPr fontId="3"/>
  </si>
  <si>
    <t>室温(℃)</t>
    <phoneticPr fontId="3"/>
  </si>
  <si>
    <t>気圧(hPa)</t>
    <rPh sb="0" eb="1">
      <t>キ</t>
    </rPh>
    <rPh sb="1" eb="2">
      <t>アツ</t>
    </rPh>
    <phoneticPr fontId="3"/>
  </si>
  <si>
    <t>測定写真</t>
    <rPh sb="0" eb="2">
      <t>ソクテイ</t>
    </rPh>
    <rPh sb="2" eb="4">
      <t>シャシン</t>
    </rPh>
    <phoneticPr fontId="3"/>
  </si>
  <si>
    <t>最大消費電力測定グラフ</t>
    <rPh sb="0" eb="2">
      <t>サイダイ</t>
    </rPh>
    <rPh sb="2" eb="4">
      <t>ショウヒ</t>
    </rPh>
    <rPh sb="4" eb="6">
      <t>デンリョク</t>
    </rPh>
    <rPh sb="6" eb="8">
      <t>ソクテイ</t>
    </rPh>
    <phoneticPr fontId="3"/>
  </si>
  <si>
    <r>
      <t>p</t>
    </r>
    <r>
      <rPr>
        <vertAlign val="subscript"/>
        <sz val="14"/>
        <rFont val="Century"/>
        <family val="1"/>
      </rPr>
      <t xml:space="preserve">r </t>
    </r>
    <phoneticPr fontId="3"/>
  </si>
  <si>
    <t>消費電力の許容差</t>
    <rPh sb="0" eb="2">
      <t>ショウヒ</t>
    </rPh>
    <rPh sb="2" eb="4">
      <t>デンリョク</t>
    </rPh>
    <rPh sb="5" eb="7">
      <t>キョヨウ</t>
    </rPh>
    <rPh sb="7" eb="8">
      <t>サ</t>
    </rPh>
    <phoneticPr fontId="3"/>
  </si>
  <si>
    <t>フラットコンベア洗浄機</t>
    <rPh sb="8" eb="11">
      <t>センジョウキ</t>
    </rPh>
    <phoneticPr fontId="3"/>
  </si>
  <si>
    <t>フライトコンベア洗浄機</t>
    <rPh sb="8" eb="11">
      <t>センジョウキ</t>
    </rPh>
    <phoneticPr fontId="3"/>
  </si>
  <si>
    <t>ラックコンベア洗浄機</t>
    <rPh sb="7" eb="10">
      <t>センジョウキ</t>
    </rPh>
    <phoneticPr fontId="3"/>
  </si>
  <si>
    <t>立爪の間隔(mm)</t>
    <rPh sb="0" eb="1">
      <t>タ</t>
    </rPh>
    <rPh sb="1" eb="2">
      <t>ツメ</t>
    </rPh>
    <rPh sb="3" eb="5">
      <t>カンカク</t>
    </rPh>
    <phoneticPr fontId="3"/>
  </si>
  <si>
    <t>リスト</t>
    <phoneticPr fontId="3"/>
  </si>
  <si>
    <t>タンクの種類</t>
    <phoneticPr fontId="3"/>
  </si>
  <si>
    <t>立上り性能は①、②、③、④の最大値になる。</t>
    <rPh sb="14" eb="17">
      <t>サイダイチ</t>
    </rPh>
    <phoneticPr fontId="3"/>
  </si>
  <si>
    <t>500mm×500mm</t>
    <phoneticPr fontId="3"/>
  </si>
  <si>
    <t>専用食器籠</t>
    <rPh sb="0" eb="2">
      <t>センヨウ</t>
    </rPh>
    <rPh sb="2" eb="4">
      <t>ショッキ</t>
    </rPh>
    <rPh sb="4" eb="5">
      <t>カゴ</t>
    </rPh>
    <phoneticPr fontId="3"/>
  </si>
  <si>
    <t>ラックコンベア洗浄機、フライトコンベア洗浄機、フラットコンベア洗浄機(選択してください)</t>
  </si>
  <si>
    <t>ラックコンベア洗浄機</t>
    <phoneticPr fontId="3"/>
  </si>
  <si>
    <t>フライトコンベア洗浄機</t>
  </si>
  <si>
    <t>フラットコンベア洗浄機</t>
  </si>
  <si>
    <t>仕上げすすぎの方式</t>
    <rPh sb="7" eb="9">
      <t>ホウシキ</t>
    </rPh>
    <phoneticPr fontId="3"/>
  </si>
  <si>
    <t>試験機器の電動機の最大消費電力 =</t>
    <rPh sb="0" eb="2">
      <t>シケン</t>
    </rPh>
    <rPh sb="2" eb="4">
      <t>キキ</t>
    </rPh>
    <rPh sb="5" eb="8">
      <t>デンドウキ</t>
    </rPh>
    <rPh sb="9" eb="11">
      <t>サイダイ</t>
    </rPh>
    <rPh sb="11" eb="13">
      <t>ショウヒ</t>
    </rPh>
    <rPh sb="13" eb="15">
      <t>デンリョク</t>
    </rPh>
    <phoneticPr fontId="3"/>
  </si>
  <si>
    <t>(kW)</t>
    <phoneticPr fontId="3"/>
  </si>
  <si>
    <t>電動機の定格消費電力 =</t>
    <rPh sb="0" eb="3">
      <t>デンドウキ</t>
    </rPh>
    <phoneticPr fontId="3"/>
  </si>
  <si>
    <t>測定時の定格周波数 =</t>
    <rPh sb="0" eb="2">
      <t>ソクテイ</t>
    </rPh>
    <rPh sb="2" eb="3">
      <t>ジ</t>
    </rPh>
    <rPh sb="4" eb="6">
      <t>テイカク</t>
    </rPh>
    <rPh sb="6" eb="9">
      <t>シュウハスウ</t>
    </rPh>
    <phoneticPr fontId="3"/>
  </si>
  <si>
    <t>(Hz)</t>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</si>
  <si>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</si>
  <si>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t>
    <phoneticPr fontId="3"/>
  </si>
  <si>
    <t>試験機器の電熱装置の最大消費電力 =</t>
    <rPh sb="0" eb="2">
      <t>シケン</t>
    </rPh>
    <rPh sb="2" eb="4">
      <t>キキ</t>
    </rPh>
    <rPh sb="5" eb="7">
      <t>デンネツ</t>
    </rPh>
    <rPh sb="7" eb="9">
      <t>ソウチ</t>
    </rPh>
    <rPh sb="10" eb="12">
      <t>サイダイ</t>
    </rPh>
    <rPh sb="12" eb="14">
      <t>ショウヒ</t>
    </rPh>
    <rPh sb="14" eb="16">
      <t>デンリョク</t>
    </rPh>
    <phoneticPr fontId="3"/>
  </si>
  <si>
    <t>電熱装置の定格消費電力 =</t>
    <rPh sb="0" eb="2">
      <t>デンネツ</t>
    </rPh>
    <rPh sb="2" eb="4">
      <t>ソウチ</t>
    </rPh>
    <phoneticPr fontId="3"/>
  </si>
  <si>
    <t xml:space="preserve">        電動機と電熱装置の最大消費電力を分けて測定できないとき</t>
    <rPh sb="8" eb="11">
      <t>デンドウキ</t>
    </rPh>
    <rPh sb="12" eb="14">
      <t>デンネツ</t>
    </rPh>
    <rPh sb="14" eb="16">
      <t>ソウチ</t>
    </rPh>
    <rPh sb="17" eb="19">
      <t>サイダイ</t>
    </rPh>
    <rPh sb="19" eb="21">
      <t>ショウヒ</t>
    </rPh>
    <rPh sb="21" eb="23">
      <t>デンリョク</t>
    </rPh>
    <rPh sb="24" eb="25">
      <t>ワ</t>
    </rPh>
    <rPh sb="27" eb="29">
      <t>ソクテイ</t>
    </rPh>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</si>
  <si>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</si>
  <si>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</si>
  <si>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</si>
  <si>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t>電熱装置</t>
    <phoneticPr fontId="3"/>
  </si>
  <si>
    <t>電動機</t>
    <phoneticPr fontId="3"/>
  </si>
  <si>
    <t>1.定格消費電力</t>
    <rPh sb="2" eb="4">
      <t>テイカク</t>
    </rPh>
    <rPh sb="4" eb="6">
      <t>ショウヒ</t>
    </rPh>
    <rPh sb="6" eb="8">
      <t>デンリョク</t>
    </rPh>
    <phoneticPr fontId="3"/>
  </si>
  <si>
    <r>
      <rPr>
        <i/>
        <sz val="9"/>
        <rFont val="Century"/>
        <family val="1"/>
      </rPr>
      <t>ε</t>
    </r>
    <r>
      <rPr>
        <vertAlign val="subscript"/>
        <sz val="9"/>
        <rFont val="Century"/>
        <family val="1"/>
      </rPr>
      <t xml:space="preserve">p </t>
    </r>
    <r>
      <rPr>
        <sz val="9"/>
        <rFont val="ＭＳ Ｐゴシック"/>
        <family val="3"/>
        <charset val="128"/>
      </rPr>
      <t>：</t>
    </r>
    <r>
      <rPr>
        <sz val="9"/>
        <rFont val="Century"/>
        <family val="1"/>
      </rPr>
      <t xml:space="preserve"> </t>
    </r>
    <r>
      <rPr>
        <sz val="9"/>
        <rFont val="ＭＳ Ｐゴシック"/>
        <family val="3"/>
        <charset val="128"/>
      </rPr>
      <t>試験機器の最大消費電力と定格消費力電の差</t>
    </r>
    <rPh sb="10" eb="12">
      <t>サイダイ</t>
    </rPh>
    <rPh sb="12" eb="14">
      <t>ショウヒ</t>
    </rPh>
    <rPh sb="14" eb="16">
      <t>デンリョク</t>
    </rPh>
    <rPh sb="17" eb="19">
      <t>テイカク</t>
    </rPh>
    <rPh sb="19" eb="21">
      <t>ショウヒ</t>
    </rPh>
    <rPh sb="21" eb="22">
      <t>リョク</t>
    </rPh>
    <rPh sb="22" eb="23">
      <t>デン</t>
    </rPh>
    <rPh sb="24" eb="25">
      <t>サ</t>
    </rPh>
    <phoneticPr fontId="3"/>
  </si>
  <si>
    <r>
      <rPr>
        <i/>
        <sz val="9"/>
        <rFont val="Century"/>
        <family val="1"/>
      </rPr>
      <t>ε</t>
    </r>
    <r>
      <rPr>
        <vertAlign val="subscript"/>
        <sz val="9"/>
        <rFont val="Century"/>
        <family val="1"/>
      </rPr>
      <t xml:space="preserve">p </t>
    </r>
    <r>
      <rPr>
        <sz val="9"/>
        <rFont val="ＭＳ Ｐゴシック"/>
        <family val="3"/>
        <charset val="128"/>
      </rPr>
      <t>：</t>
    </r>
    <r>
      <rPr>
        <sz val="9"/>
        <rFont val="Century"/>
        <family val="1"/>
      </rPr>
      <t xml:space="preserve"> </t>
    </r>
    <r>
      <rPr>
        <sz val="9"/>
        <rFont val="ＭＳ Ｐゴシック"/>
        <family val="3"/>
        <charset val="128"/>
      </rPr>
      <t>試験機器の最大消費電力と定格消費電力の差</t>
    </r>
    <rPh sb="10" eb="12">
      <t>サイダイ</t>
    </rPh>
    <rPh sb="12" eb="14">
      <t>ショウヒ</t>
    </rPh>
    <rPh sb="14" eb="16">
      <t>デンリョク</t>
    </rPh>
    <rPh sb="17" eb="19">
      <t>テイカク</t>
    </rPh>
    <rPh sb="19" eb="21">
      <t>ショウヒ</t>
    </rPh>
    <rPh sb="21" eb="22">
      <t>デン</t>
    </rPh>
    <rPh sb="22" eb="23">
      <t>リョク</t>
    </rPh>
    <rPh sb="24" eb="25">
      <t>サ</t>
    </rPh>
    <phoneticPr fontId="3"/>
  </si>
  <si>
    <t>番号</t>
    <phoneticPr fontId="3"/>
  </si>
  <si>
    <r>
      <rPr>
        <i/>
        <sz val="10"/>
        <rFont val="Century"/>
        <family val="1"/>
      </rPr>
      <t>S</t>
    </r>
    <r>
      <rPr>
        <vertAlign val="subscript"/>
        <sz val="10"/>
        <rFont val="Century"/>
        <family val="1"/>
      </rPr>
      <t>c</t>
    </r>
    <r>
      <rPr>
        <sz val="10"/>
        <rFont val="ＭＳ Ｐゴシック"/>
        <family val="3"/>
        <charset val="128"/>
      </rPr>
      <t>: 標準コンベア速度[m/min]  (日本厨房工業会業務用食器洗浄機基準JFEA007-2012」の汚れ除去の効果に対する要件を満たす速度であること。）</t>
    </r>
    <phoneticPr fontId="3"/>
  </si>
  <si>
    <r>
      <t>　連続処理能力</t>
    </r>
    <r>
      <rPr>
        <i/>
        <sz val="10"/>
        <color indexed="8"/>
        <rFont val="Century"/>
        <family val="1"/>
      </rPr>
      <t>V</t>
    </r>
    <r>
      <rPr>
        <vertAlign val="subscript"/>
        <sz val="10"/>
        <color indexed="8"/>
        <rFont val="Century"/>
        <family val="1"/>
      </rPr>
      <t>C</t>
    </r>
    <r>
      <rPr>
        <vertAlign val="subscript"/>
        <sz val="10"/>
        <color indexed="8"/>
        <rFont val="ＭＳ Ｐゴシック"/>
        <family val="3"/>
        <charset val="128"/>
      </rPr>
      <t xml:space="preserve"> </t>
    </r>
    <r>
      <rPr>
        <sz val="10"/>
        <color indexed="8"/>
        <rFont val="ＭＳ Ｐゴシック"/>
        <family val="3"/>
        <charset val="128"/>
      </rPr>
      <t>[枚/h] は、コンベア種ごとに規定する最大処理量</t>
    </r>
    <r>
      <rPr>
        <i/>
        <sz val="10"/>
        <color indexed="8"/>
        <rFont val="Century"/>
        <family val="1"/>
      </rPr>
      <t>V</t>
    </r>
    <r>
      <rPr>
        <vertAlign val="subscript"/>
        <sz val="10"/>
        <color indexed="8"/>
        <rFont val="Century"/>
        <family val="1"/>
      </rPr>
      <t xml:space="preserve">m </t>
    </r>
    <r>
      <rPr>
        <sz val="10"/>
        <color indexed="8"/>
        <rFont val="ＭＳ Ｐゴシック"/>
        <family val="3"/>
        <charset val="128"/>
      </rPr>
      <t>[枚/m]（コンベアの長さ</t>
    </r>
    <r>
      <rPr>
        <sz val="10"/>
        <color indexed="8"/>
        <rFont val="Century"/>
        <family val="1"/>
      </rPr>
      <t>1</t>
    </r>
    <r>
      <rPr>
        <sz val="10"/>
        <color indexed="8"/>
        <rFont val="ＭＳ Ｐゴシック"/>
        <family val="3"/>
        <charset val="128"/>
      </rPr>
      <t xml:space="preserve"> m あたりの試験食器の枚数で表す。） によって、次式で計算する。</t>
    </r>
    <rPh sb="1" eb="3">
      <t>レンゾク</t>
    </rPh>
    <phoneticPr fontId="3"/>
  </si>
  <si>
    <r>
      <t>■フラットコンベア洗浄機　試験食器は、陶磁器製の直径</t>
    </r>
    <r>
      <rPr>
        <sz val="10"/>
        <rFont val="Century"/>
        <family val="1"/>
      </rPr>
      <t>180</t>
    </r>
    <r>
      <rPr>
        <sz val="10"/>
        <rFont val="ＭＳ Ｐゴシック"/>
        <family val="3"/>
        <charset val="128"/>
      </rPr>
      <t>mm浅皿とする。最大処理量</t>
    </r>
    <r>
      <rPr>
        <i/>
        <sz val="10"/>
        <rFont val="Century"/>
        <family val="1"/>
      </rPr>
      <t>V</t>
    </r>
    <r>
      <rPr>
        <vertAlign val="subscript"/>
        <sz val="10"/>
        <rFont val="Century"/>
        <family val="1"/>
      </rPr>
      <t xml:space="preserve">m </t>
    </r>
    <r>
      <rPr>
        <sz val="10"/>
        <rFont val="ＭＳ Ｐゴシック"/>
        <family val="3"/>
        <charset val="128"/>
      </rPr>
      <t>[枚/m]は、試験食器の平面投影面積がコンベアの洗浄面積の</t>
    </r>
    <r>
      <rPr>
        <sz val="10"/>
        <rFont val="Century"/>
        <family val="1"/>
      </rPr>
      <t>60</t>
    </r>
    <r>
      <rPr>
        <sz val="10"/>
        <rFont val="ＭＳ Ｐゴシック"/>
        <family val="3"/>
        <charset val="128"/>
      </rPr>
      <t>%になる枚数とする。</t>
    </r>
    <rPh sb="9" eb="12">
      <t>センジョウキ</t>
    </rPh>
    <phoneticPr fontId="3"/>
  </si>
  <si>
    <r>
      <t>■フライトコンベア洗浄機　試験食器は、陶磁器製の直径</t>
    </r>
    <r>
      <rPr>
        <sz val="10"/>
        <rFont val="Century"/>
        <family val="1"/>
      </rPr>
      <t>230</t>
    </r>
    <r>
      <rPr>
        <sz val="10"/>
        <rFont val="ＭＳ Ｐゴシック"/>
        <family val="3"/>
        <charset val="128"/>
      </rPr>
      <t>mm の洋皿とする。最大処理量</t>
    </r>
    <r>
      <rPr>
        <i/>
        <sz val="10"/>
        <rFont val="Century"/>
        <family val="1"/>
      </rPr>
      <t>V</t>
    </r>
    <r>
      <rPr>
        <vertAlign val="subscript"/>
        <sz val="10"/>
        <rFont val="Century"/>
        <family val="1"/>
      </rPr>
      <t xml:space="preserve">m </t>
    </r>
    <r>
      <rPr>
        <sz val="10"/>
        <rFont val="ＭＳ Ｐゴシック"/>
        <family val="3"/>
        <charset val="128"/>
      </rPr>
      <t>[枚/m]は、コンベア幅に並ぶ試験食器の枚数を立爪の間隔で除したものとする。</t>
    </r>
    <rPh sb="9" eb="12">
      <t>センジョウキ</t>
    </rPh>
    <phoneticPr fontId="3"/>
  </si>
  <si>
    <r>
      <rPr>
        <i/>
        <sz val="10"/>
        <rFont val="Cambria"/>
        <family val="1"/>
      </rPr>
      <t>n</t>
    </r>
    <r>
      <rPr>
        <vertAlign val="subscript"/>
        <sz val="10"/>
        <rFont val="Century"/>
        <family val="1"/>
      </rPr>
      <t xml:space="preserve">s </t>
    </r>
    <r>
      <rPr>
        <sz val="10"/>
        <rFont val="ＭＳ Ｐゴシック"/>
        <family val="3"/>
        <charset val="128"/>
      </rPr>
      <t>： 立上り回数[回/日]　標準値は１回/日</t>
    </r>
    <rPh sb="11" eb="12">
      <t>カイ</t>
    </rPh>
    <rPh sb="13" eb="14">
      <t>ヒ</t>
    </rPh>
    <rPh sb="18" eb="19">
      <t>チ</t>
    </rPh>
    <rPh sb="21" eb="22">
      <t>カイ</t>
    </rPh>
    <rPh sb="23" eb="24">
      <t>ニチ</t>
    </rPh>
    <phoneticPr fontId="3"/>
  </si>
  <si>
    <r>
      <rPr>
        <i/>
        <sz val="10"/>
        <rFont val="Cambria"/>
        <family val="1"/>
      </rPr>
      <t>n</t>
    </r>
    <r>
      <rPr>
        <vertAlign val="subscript"/>
        <sz val="10"/>
        <rFont val="Century"/>
        <family val="1"/>
      </rPr>
      <t>s</t>
    </r>
    <r>
      <rPr>
        <sz val="10"/>
        <rFont val="ＭＳ Ｐゴシック"/>
        <family val="3"/>
        <charset val="128"/>
      </rPr>
      <t xml:space="preserve"> =</t>
    </r>
    <r>
      <rPr>
        <sz val="10"/>
        <rFont val="Century"/>
        <family val="1"/>
      </rPr>
      <t xml:space="preserve"> </t>
    </r>
    <phoneticPr fontId="3"/>
  </si>
  <si>
    <r>
      <rPr>
        <i/>
        <sz val="10"/>
        <rFont val="Cambria"/>
        <family val="1"/>
      </rPr>
      <t>r</t>
    </r>
    <r>
      <rPr>
        <vertAlign val="subscript"/>
        <sz val="10"/>
        <rFont val="Century"/>
        <family val="1"/>
      </rPr>
      <t>c</t>
    </r>
    <r>
      <rPr>
        <sz val="10"/>
        <rFont val="ＭＳ Ｐゴシック"/>
        <family val="3"/>
        <charset val="128"/>
      </rPr>
      <t xml:space="preserve"> =</t>
    </r>
    <phoneticPr fontId="3"/>
  </si>
  <si>
    <r>
      <rPr>
        <i/>
        <sz val="10"/>
        <rFont val="Cambria"/>
        <family val="1"/>
      </rPr>
      <t>m</t>
    </r>
    <r>
      <rPr>
        <vertAlign val="subscript"/>
        <sz val="10"/>
        <rFont val="Century"/>
        <family val="1"/>
      </rPr>
      <t>d</t>
    </r>
    <r>
      <rPr>
        <sz val="10"/>
        <rFont val="ＭＳ Ｐゴシック"/>
        <family val="3"/>
        <charset val="128"/>
      </rPr>
      <t xml:space="preserve"> ： 試験食器の重量[kg/枚] 　</t>
    </r>
    <phoneticPr fontId="3"/>
  </si>
  <si>
    <r>
      <rPr>
        <i/>
        <sz val="10"/>
        <rFont val="Cambria"/>
        <family val="1"/>
      </rPr>
      <t>m</t>
    </r>
    <r>
      <rPr>
        <vertAlign val="subscript"/>
        <sz val="10"/>
        <rFont val="Century"/>
        <family val="1"/>
      </rPr>
      <t xml:space="preserve">d </t>
    </r>
    <r>
      <rPr>
        <sz val="10"/>
        <rFont val="ＭＳ Ｐゴシック"/>
        <family val="3"/>
        <charset val="128"/>
      </rPr>
      <t xml:space="preserve">= </t>
    </r>
    <phoneticPr fontId="3"/>
  </si>
  <si>
    <r>
      <t>P</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t>
    </r>
    <phoneticPr fontId="3"/>
  </si>
  <si>
    <r>
      <rPr>
        <i/>
        <sz val="10"/>
        <rFont val="Century"/>
        <family val="1"/>
      </rPr>
      <t>P</t>
    </r>
    <r>
      <rPr>
        <vertAlign val="subscript"/>
        <sz val="10"/>
        <rFont val="Century"/>
        <family val="1"/>
      </rPr>
      <t xml:space="preserve">s </t>
    </r>
    <r>
      <rPr>
        <sz val="10"/>
        <rFont val="ＭＳ Ｐゴシック"/>
        <family val="3"/>
        <charset val="128"/>
      </rPr>
      <t>：　消費電力量[kWh/回]</t>
    </r>
    <rPh sb="15" eb="16">
      <t>カイ</t>
    </rPh>
    <phoneticPr fontId="3"/>
  </si>
  <si>
    <r>
      <t>W</t>
    </r>
    <r>
      <rPr>
        <vertAlign val="subscript"/>
        <sz val="10"/>
        <rFont val="Century"/>
        <family val="1"/>
      </rPr>
      <t>f</t>
    </r>
    <r>
      <rPr>
        <i/>
        <sz val="10"/>
        <rFont val="ＭＳ Ｐゴシック"/>
        <family val="3"/>
        <charset val="128"/>
      </rPr>
      <t xml:space="preserve"> </t>
    </r>
    <r>
      <rPr>
        <sz val="10"/>
        <rFont val="ＭＳ Ｐゴシック"/>
        <family val="3"/>
        <charset val="128"/>
      </rPr>
      <t xml:space="preserve">= </t>
    </r>
    <phoneticPr fontId="3"/>
  </si>
  <si>
    <r>
      <t>W</t>
    </r>
    <r>
      <rPr>
        <vertAlign val="subscript"/>
        <sz val="10"/>
        <rFont val="Century"/>
        <family val="1"/>
      </rPr>
      <t>m</t>
    </r>
    <r>
      <rPr>
        <i/>
        <sz val="10"/>
        <rFont val="ＭＳ Ｐゴシック"/>
        <family val="3"/>
        <charset val="128"/>
      </rPr>
      <t xml:space="preserve"> </t>
    </r>
    <r>
      <rPr>
        <sz val="10"/>
        <rFont val="ＭＳ Ｐゴシック"/>
        <family val="3"/>
        <charset val="128"/>
      </rPr>
      <t xml:space="preserve">= </t>
    </r>
    <phoneticPr fontId="3"/>
  </si>
  <si>
    <r>
      <rPr>
        <i/>
        <sz val="10"/>
        <rFont val="Century"/>
        <family val="1"/>
      </rPr>
      <t>W</t>
    </r>
    <r>
      <rPr>
        <vertAlign val="subscript"/>
        <sz val="10"/>
        <rFont val="Century"/>
        <family val="1"/>
      </rPr>
      <t>f</t>
    </r>
    <r>
      <rPr>
        <sz val="10"/>
        <rFont val="Century"/>
        <family val="1"/>
      </rPr>
      <t xml:space="preserve"> </t>
    </r>
    <r>
      <rPr>
        <sz val="10"/>
        <rFont val="ＭＳ Ｐゴシック"/>
        <family val="3"/>
        <charset val="128"/>
      </rPr>
      <t>: 洗浄タンクの貯湯量[ℓ/回]</t>
    </r>
    <phoneticPr fontId="3"/>
  </si>
  <si>
    <r>
      <rPr>
        <i/>
        <sz val="10"/>
        <rFont val="Century"/>
        <family val="1"/>
      </rPr>
      <t>W</t>
    </r>
    <r>
      <rPr>
        <vertAlign val="subscript"/>
        <sz val="10"/>
        <rFont val="Century"/>
        <family val="1"/>
      </rPr>
      <t>m</t>
    </r>
    <r>
      <rPr>
        <sz val="10"/>
        <rFont val="Century"/>
        <family val="1"/>
      </rPr>
      <t xml:space="preserve"> </t>
    </r>
    <r>
      <rPr>
        <sz val="10"/>
        <rFont val="ＭＳ Ｐゴシック"/>
        <family val="3"/>
        <charset val="128"/>
      </rPr>
      <t>: 循環すすぎタンクの貯湯量[ℓ/回]</t>
    </r>
    <phoneticPr fontId="3"/>
  </si>
  <si>
    <t>　　　冷水仕上げすすぎ方式の試験機器の場合には、20 ℃とみなす。</t>
    <phoneticPr fontId="3"/>
  </si>
  <si>
    <r>
      <rPr>
        <sz val="10"/>
        <color indexed="8"/>
        <rFont val="Century"/>
        <family val="1"/>
      </rPr>
      <t>Δ</t>
    </r>
    <r>
      <rPr>
        <i/>
        <sz val="10"/>
        <color indexed="8"/>
        <rFont val="Symbol"/>
        <family val="1"/>
        <charset val="2"/>
      </rPr>
      <t>q</t>
    </r>
    <r>
      <rPr>
        <vertAlign val="subscript"/>
        <sz val="10"/>
        <color indexed="8"/>
        <rFont val="Century"/>
        <family val="1"/>
      </rPr>
      <t>d</t>
    </r>
    <r>
      <rPr>
        <sz val="10"/>
        <color indexed="8"/>
        <rFont val="ＭＳ Ｐゴシック"/>
        <family val="3"/>
        <charset val="128"/>
      </rPr>
      <t xml:space="preserve"> : 試験食器の温度差の補正[℃]　標準値は45 ℃</t>
    </r>
    <phoneticPr fontId="3"/>
  </si>
  <si>
    <r>
      <rPr>
        <sz val="10"/>
        <rFont val="Century"/>
        <family val="1"/>
      </rPr>
      <t xml:space="preserve"> </t>
    </r>
    <r>
      <rPr>
        <sz val="10"/>
        <rFont val="ＭＳ Ｐゴシック"/>
        <family val="3"/>
        <charset val="128"/>
      </rPr>
      <t>予備洗浄タンク、洗浄タンクおよび循環すすぎタンクの貯湯量の和を立上り時給水量または立上り時給湯量</t>
    </r>
    <r>
      <rPr>
        <i/>
        <sz val="10"/>
        <rFont val="Century"/>
        <family val="1"/>
      </rPr>
      <t>W</t>
    </r>
    <r>
      <rPr>
        <vertAlign val="subscript"/>
        <sz val="10"/>
        <rFont val="Century"/>
        <family val="1"/>
      </rPr>
      <t xml:space="preserve">s </t>
    </r>
    <r>
      <rPr>
        <sz val="10"/>
        <rFont val="ＭＳ Ｐゴシック"/>
        <family val="3"/>
        <charset val="128"/>
      </rPr>
      <t>[ℓ/回] とする。</t>
    </r>
    <rPh sb="1" eb="3">
      <t>ヨビ</t>
    </rPh>
    <rPh sb="3" eb="5">
      <t>センジョウ</t>
    </rPh>
    <rPh sb="9" eb="11">
      <t>センジョウ</t>
    </rPh>
    <rPh sb="17" eb="19">
      <t>ジュンカン</t>
    </rPh>
    <rPh sb="26" eb="28">
      <t>チョトウ</t>
    </rPh>
    <rPh sb="28" eb="29">
      <t>リョウ</t>
    </rPh>
    <rPh sb="30" eb="31">
      <t>ワ</t>
    </rPh>
    <rPh sb="32" eb="34">
      <t>タチアガ</t>
    </rPh>
    <rPh sb="35" eb="37">
      <t>ジキュウ</t>
    </rPh>
    <rPh sb="37" eb="39">
      <t>スイリョウ</t>
    </rPh>
    <rPh sb="42" eb="44">
      <t>タチアガ</t>
    </rPh>
    <rPh sb="45" eb="46">
      <t>ジ</t>
    </rPh>
    <rPh sb="46" eb="48">
      <t>キュウトウ</t>
    </rPh>
    <rPh sb="48" eb="49">
      <t>リョウ</t>
    </rPh>
    <phoneticPr fontId="3"/>
  </si>
  <si>
    <r>
      <rPr>
        <sz val="10"/>
        <rFont val="Century"/>
        <family val="1"/>
      </rPr>
      <t xml:space="preserve"> </t>
    </r>
    <r>
      <rPr>
        <sz val="10"/>
        <rFont val="ＭＳ Ｐゴシック"/>
        <family val="3"/>
        <charset val="128"/>
      </rPr>
      <t>製造者の表示する標準給水量または標準給湯量を処理時給水量または処理時給湯量</t>
    </r>
    <r>
      <rPr>
        <i/>
        <sz val="10"/>
        <rFont val="Century"/>
        <family val="1"/>
      </rPr>
      <t>W</t>
    </r>
    <r>
      <rPr>
        <vertAlign val="subscript"/>
        <sz val="10"/>
        <rFont val="Century"/>
        <family val="1"/>
      </rPr>
      <t>c</t>
    </r>
    <r>
      <rPr>
        <sz val="10"/>
        <rFont val="ＭＳ Ｐゴシック"/>
        <family val="3"/>
        <charset val="128"/>
      </rPr>
      <t xml:space="preserve"> [ℓ/h] とする。</t>
    </r>
    <phoneticPr fontId="3"/>
  </si>
  <si>
    <t xml:space="preserve">       ③待機時</t>
    <rPh sb="8" eb="11">
      <t>タイキジ</t>
    </rPh>
    <phoneticPr fontId="3"/>
  </si>
  <si>
    <t>処理時間を想定した日あたり給水量または日あたり給湯量を計算する。</t>
    <rPh sb="0" eb="2">
      <t>ショリ</t>
    </rPh>
    <rPh sb="2" eb="4">
      <t>ジカン</t>
    </rPh>
    <rPh sb="5" eb="7">
      <t>ソウテイ</t>
    </rPh>
    <rPh sb="9" eb="10">
      <t>ヒ</t>
    </rPh>
    <rPh sb="13" eb="15">
      <t>キュウスイ</t>
    </rPh>
    <rPh sb="15" eb="16">
      <t>リョウ</t>
    </rPh>
    <rPh sb="27" eb="29">
      <t>ケイサン</t>
    </rPh>
    <phoneticPr fontId="3"/>
  </si>
  <si>
    <r>
      <rPr>
        <i/>
        <sz val="10"/>
        <rFont val="Century"/>
        <family val="1"/>
      </rPr>
      <t>W</t>
    </r>
    <r>
      <rPr>
        <vertAlign val="subscript"/>
        <sz val="10"/>
        <rFont val="Century"/>
        <family val="1"/>
      </rPr>
      <t xml:space="preserve">c </t>
    </r>
    <r>
      <rPr>
        <sz val="10"/>
        <rFont val="ＭＳ Ｐゴシック"/>
        <family val="3"/>
        <charset val="128"/>
      </rPr>
      <t>: 処理時給水量または処理時給湯量[ℓ/h]</t>
    </r>
    <phoneticPr fontId="3"/>
  </si>
  <si>
    <r>
      <rPr>
        <i/>
        <sz val="10"/>
        <rFont val="Cambria"/>
        <family val="1"/>
      </rPr>
      <t>n</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t>
    </r>
    <phoneticPr fontId="3"/>
  </si>
  <si>
    <r>
      <rPr>
        <i/>
        <sz val="10"/>
        <rFont val="Century"/>
        <family val="1"/>
      </rPr>
      <t>W</t>
    </r>
    <r>
      <rPr>
        <vertAlign val="subscript"/>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処理時給水量または処理時給湯量[ℓ/h]</t>
    </r>
    <phoneticPr fontId="3"/>
  </si>
  <si>
    <r>
      <rPr>
        <i/>
        <sz val="10"/>
        <rFont val="Century"/>
        <family val="1"/>
      </rPr>
      <t>W</t>
    </r>
    <r>
      <rPr>
        <vertAlign val="subscript"/>
        <sz val="10"/>
        <rFont val="Century"/>
        <family val="1"/>
      </rPr>
      <t>s</t>
    </r>
    <r>
      <rPr>
        <sz val="10"/>
        <rFont val="ＭＳ Ｐゴシック"/>
        <family val="3"/>
        <charset val="128"/>
      </rPr>
      <t xml:space="preserve"> ： 立上り時給水量または立上り時給湯量[ℓ/回]</t>
    </r>
    <phoneticPr fontId="3"/>
  </si>
  <si>
    <t>　　　④日あたり給水量または日あたり給湯量</t>
    <rPh sb="9" eb="10">
      <t>スイ</t>
    </rPh>
    <rPh sb="14" eb="15">
      <t>ヒ</t>
    </rPh>
    <rPh sb="18" eb="20">
      <t>キュウトウ</t>
    </rPh>
    <rPh sb="20" eb="21">
      <t>リョウ</t>
    </rPh>
    <phoneticPr fontId="3"/>
  </si>
  <si>
    <t>6.給水量
または給湯量</t>
    <rPh sb="2" eb="3">
      <t>キュウ</t>
    </rPh>
    <rPh sb="3" eb="4">
      <t>スイ</t>
    </rPh>
    <rPh sb="9" eb="11">
      <t>キュウトウ</t>
    </rPh>
    <rPh sb="11" eb="12">
      <t>リョウ</t>
    </rPh>
    <phoneticPr fontId="3"/>
  </si>
  <si>
    <t>標準給水量または標準給湯量</t>
    <rPh sb="0" eb="2">
      <t>ヒョウジュン</t>
    </rPh>
    <rPh sb="2" eb="5">
      <t>キュウスイリョウ</t>
    </rPh>
    <rPh sb="8" eb="10">
      <t>ヒョウジュン</t>
    </rPh>
    <rPh sb="10" eb="12">
      <t>キュウトウ</t>
    </rPh>
    <rPh sb="12" eb="13">
      <t>リョウ</t>
    </rPh>
    <phoneticPr fontId="3"/>
  </si>
  <si>
    <r>
      <t>　　　ただし、冷水仕上げすすぎ方式の試験機器の場合には、</t>
    </r>
    <r>
      <rPr>
        <sz val="10"/>
        <color indexed="8"/>
        <rFont val="Century"/>
        <family val="1"/>
      </rPr>
      <t>30</t>
    </r>
    <r>
      <rPr>
        <sz val="10"/>
        <color indexed="8"/>
        <rFont val="ＭＳ Ｐゴシック"/>
        <family val="3"/>
        <charset val="128"/>
      </rPr>
      <t xml:space="preserve"> ℃とする。</t>
    </r>
    <phoneticPr fontId="3"/>
  </si>
  <si>
    <r>
      <rPr>
        <i/>
        <sz val="10"/>
        <rFont val="Century"/>
        <family val="1"/>
      </rPr>
      <t>W</t>
    </r>
    <r>
      <rPr>
        <vertAlign val="subscript"/>
        <sz val="10"/>
        <rFont val="Century"/>
        <family val="1"/>
      </rPr>
      <t xml:space="preserve">dH </t>
    </r>
    <r>
      <rPr>
        <sz val="10"/>
        <rFont val="ＭＳ Ｐゴシック"/>
        <family val="3"/>
        <charset val="128"/>
      </rPr>
      <t>：日あたり給水量または
　　　　　　　　　　日あたり給湯量（時間想定）</t>
    </r>
    <r>
      <rPr>
        <sz val="10"/>
        <rFont val="Century"/>
        <family val="1"/>
      </rPr>
      <t xml:space="preserve"> [</t>
    </r>
    <r>
      <rPr>
        <sz val="10"/>
        <rFont val="ＭＳ Ｐゴシック"/>
        <family val="3"/>
        <charset val="128"/>
      </rPr>
      <t>ℓ</t>
    </r>
    <r>
      <rPr>
        <sz val="10"/>
        <rFont val="Century"/>
        <family val="1"/>
      </rPr>
      <t>/</t>
    </r>
    <r>
      <rPr>
        <sz val="10"/>
        <rFont val="ＭＳ Ｐゴシック"/>
        <family val="3"/>
        <charset val="128"/>
      </rPr>
      <t>日</t>
    </r>
    <r>
      <rPr>
        <sz val="10"/>
        <rFont val="Century"/>
        <family val="1"/>
      </rPr>
      <t>]</t>
    </r>
    <rPh sb="34" eb="36">
      <t>ジカン</t>
    </rPh>
    <phoneticPr fontId="3"/>
  </si>
  <si>
    <r>
      <t>■ラックコンベア洗浄機　試験食器ラックは、幅</t>
    </r>
    <r>
      <rPr>
        <sz val="10"/>
        <rFont val="Century"/>
        <family val="1"/>
      </rPr>
      <t>500</t>
    </r>
    <r>
      <rPr>
        <sz val="10"/>
        <rFont val="ＭＳ Ｐゴシック"/>
        <family val="3"/>
        <charset val="128"/>
      </rPr>
      <t>mm、奥行</t>
    </r>
    <r>
      <rPr>
        <sz val="10"/>
        <rFont val="Century"/>
        <family val="1"/>
      </rPr>
      <t>500</t>
    </r>
    <r>
      <rPr>
        <sz val="10"/>
        <rFont val="ＭＳ Ｐゴシック"/>
        <family val="3"/>
        <charset val="128"/>
      </rPr>
      <t>mm の洗浄ラックで、試験食器の収納数が</t>
    </r>
    <r>
      <rPr>
        <sz val="10"/>
        <rFont val="Century"/>
        <family val="1"/>
      </rPr>
      <t>16</t>
    </r>
    <r>
      <rPr>
        <sz val="10"/>
        <rFont val="ＭＳ Ｐゴシック"/>
        <family val="3"/>
        <charset val="128"/>
      </rPr>
      <t xml:space="preserve"> 枚のものとする。試験食器は、陶磁器製の直径</t>
    </r>
    <r>
      <rPr>
        <sz val="10"/>
        <rFont val="Century"/>
        <family val="1"/>
      </rPr>
      <t>230</t>
    </r>
    <r>
      <rPr>
        <sz val="10"/>
        <rFont val="ＭＳ Ｐゴシック"/>
        <family val="3"/>
        <charset val="128"/>
      </rPr>
      <t>mm の洋皿とする。最大処理量</t>
    </r>
    <r>
      <rPr>
        <i/>
        <sz val="10"/>
        <rFont val="Century"/>
        <family val="1"/>
      </rPr>
      <t>V</t>
    </r>
    <r>
      <rPr>
        <vertAlign val="subscript"/>
        <sz val="10"/>
        <rFont val="Century"/>
        <family val="1"/>
      </rPr>
      <t xml:space="preserve">m </t>
    </r>
    <r>
      <rPr>
        <sz val="10"/>
        <rFont val="ＭＳ Ｐゴシック"/>
        <family val="3"/>
        <charset val="128"/>
      </rPr>
      <t>[枚/m]は、</t>
    </r>
    <r>
      <rPr>
        <sz val="10"/>
        <rFont val="Century"/>
        <family val="1"/>
      </rPr>
      <t>32</t>
    </r>
    <r>
      <rPr>
        <sz val="10"/>
        <rFont val="ＭＳ Ｐゴシック"/>
        <family val="3"/>
        <charset val="128"/>
      </rPr>
      <t>[枚/m] とする。
　ただし、製造者の専用食器籠を使用する場合には、最大処理量</t>
    </r>
    <r>
      <rPr>
        <i/>
        <sz val="10"/>
        <rFont val="Century"/>
        <family val="1"/>
      </rPr>
      <t>V</t>
    </r>
    <r>
      <rPr>
        <vertAlign val="subscript"/>
        <sz val="10"/>
        <rFont val="Century"/>
        <family val="1"/>
      </rPr>
      <t xml:space="preserve">m </t>
    </r>
    <r>
      <rPr>
        <sz val="10"/>
        <rFont val="ＭＳ Ｐゴシック"/>
        <family val="3"/>
        <charset val="128"/>
      </rPr>
      <t>[枚/m] は、専用食器籠の試験食器の収納数および専用食器籠の進行方向の長さから計算した枚数とする。この場合の試験食器は、メラミン樹脂製の直径</t>
    </r>
    <r>
      <rPr>
        <sz val="10"/>
        <rFont val="Century"/>
        <family val="1"/>
      </rPr>
      <t>180</t>
    </r>
    <r>
      <rPr>
        <sz val="10"/>
        <rFont val="ＭＳ Ｐゴシック"/>
        <family val="3"/>
        <charset val="128"/>
      </rPr>
      <t xml:space="preserve"> mm 浅皿とする。</t>
    </r>
    <rPh sb="8" eb="11">
      <t>センジョウキ</t>
    </rPh>
    <phoneticPr fontId="3"/>
  </si>
  <si>
    <r>
      <t>　　　（洗浄前に</t>
    </r>
    <r>
      <rPr>
        <sz val="10"/>
        <color indexed="8"/>
        <rFont val="Century"/>
        <family val="1"/>
      </rPr>
      <t xml:space="preserve">30 </t>
    </r>
    <r>
      <rPr>
        <sz val="10"/>
        <color indexed="8"/>
        <rFont val="ＭＳ Ｐゴシック"/>
        <family val="3"/>
        <charset val="128"/>
      </rPr>
      <t>℃であった試験食器が仕上げすすぎ後に</t>
    </r>
    <r>
      <rPr>
        <sz val="10"/>
        <color indexed="8"/>
        <rFont val="Century"/>
        <family val="1"/>
      </rPr>
      <t xml:space="preserve">75 </t>
    </r>
    <r>
      <rPr>
        <sz val="10"/>
        <color indexed="8"/>
        <rFont val="ＭＳ Ｐゴシック"/>
        <family val="3"/>
        <charset val="128"/>
      </rPr>
      <t>℃になる状況を想定している。）</t>
    </r>
    <phoneticPr fontId="3"/>
  </si>
  <si>
    <t>処理時間を想定した給湯接続時の日あたり消費電力量を計算する。</t>
    <rPh sb="0" eb="2">
      <t>ショリ</t>
    </rPh>
    <rPh sb="2" eb="4">
      <t>ジカン</t>
    </rPh>
    <rPh sb="5" eb="7">
      <t>ソウテイ</t>
    </rPh>
    <rPh sb="15" eb="16">
      <t>ヒ</t>
    </rPh>
    <rPh sb="19" eb="21">
      <t>ショウヒ</t>
    </rPh>
    <rPh sb="21" eb="23">
      <t>デンリョク</t>
    </rPh>
    <rPh sb="23" eb="24">
      <t>リョウ</t>
    </rPh>
    <rPh sb="25" eb="27">
      <t>ケイサン</t>
    </rPh>
    <phoneticPr fontId="3"/>
  </si>
  <si>
    <t>④日あたり(時間想定)</t>
    <rPh sb="6" eb="8">
      <t>ジカン</t>
    </rPh>
    <rPh sb="8" eb="10">
      <t>ソウテイ</t>
    </rPh>
    <phoneticPr fontId="3"/>
  </si>
  <si>
    <t>⑤日あたり(時間想定)</t>
    <rPh sb="6" eb="8">
      <t>ジカン</t>
    </rPh>
    <rPh sb="8" eb="10">
      <t>ソウテイ</t>
    </rPh>
    <phoneticPr fontId="3"/>
  </si>
  <si>
    <r>
      <rPr>
        <i/>
        <sz val="10"/>
        <rFont val="Cambria"/>
        <family val="1"/>
      </rPr>
      <t>Q</t>
    </r>
    <r>
      <rPr>
        <vertAlign val="subscript"/>
        <sz val="10"/>
        <rFont val="Century"/>
        <family val="1"/>
      </rPr>
      <t>i</t>
    </r>
    <r>
      <rPr>
        <sz val="10"/>
        <rFont val="ＭＳ Ｐゴシック"/>
        <family val="3"/>
        <charset val="128"/>
      </rPr>
      <t xml:space="preserve"> : 待機時消費電力量[kWh/h]</t>
    </r>
    <phoneticPr fontId="3"/>
  </si>
  <si>
    <r>
      <rPr>
        <i/>
        <sz val="10"/>
        <rFont val="Cambria"/>
        <family val="1"/>
      </rPr>
      <t>Q</t>
    </r>
    <r>
      <rPr>
        <vertAlign val="subscript"/>
        <sz val="10"/>
        <rFont val="Century"/>
        <family val="1"/>
      </rPr>
      <t>i</t>
    </r>
    <r>
      <rPr>
        <vertAlign val="subscript"/>
        <sz val="10"/>
        <rFont val="ＭＳ Ｐゴシック"/>
        <family val="3"/>
        <charset val="128"/>
      </rPr>
      <t xml:space="preserve"> </t>
    </r>
    <r>
      <rPr>
        <sz val="10"/>
        <rFont val="ＭＳ Ｐゴシック"/>
        <family val="3"/>
        <charset val="128"/>
      </rPr>
      <t>=</t>
    </r>
    <phoneticPr fontId="3"/>
  </si>
  <si>
    <r>
      <rPr>
        <i/>
        <sz val="14"/>
        <rFont val="Cambria"/>
        <family val="1"/>
      </rPr>
      <t>Q</t>
    </r>
    <r>
      <rPr>
        <vertAlign val="subscript"/>
        <sz val="14"/>
        <rFont val="Century"/>
        <family val="1"/>
      </rPr>
      <t>i</t>
    </r>
    <r>
      <rPr>
        <vertAlign val="subscript"/>
        <sz val="14"/>
        <rFont val="ＭＳ Ｐゴシック"/>
        <family val="3"/>
        <charset val="128"/>
      </rPr>
      <t xml:space="preserve"> </t>
    </r>
    <r>
      <rPr>
        <sz val="10"/>
        <rFont val="ＭＳ Ｐゴシック"/>
        <family val="3"/>
        <charset val="128"/>
      </rPr>
      <t>平均値=</t>
    </r>
    <rPh sb="3" eb="6">
      <t>ヘイキンチ</t>
    </rPh>
    <phoneticPr fontId="3"/>
  </si>
  <si>
    <r>
      <rPr>
        <i/>
        <sz val="10"/>
        <rFont val="Cambria"/>
        <family val="1"/>
      </rPr>
      <t>Q</t>
    </r>
    <r>
      <rPr>
        <vertAlign val="subscript"/>
        <sz val="10"/>
        <rFont val="Century"/>
        <family val="1"/>
      </rPr>
      <t>sH</t>
    </r>
    <r>
      <rPr>
        <sz val="10"/>
        <rFont val="ＭＳ Ｐゴシック"/>
        <family val="3"/>
        <charset val="128"/>
      </rPr>
      <t xml:space="preserve"> =</t>
    </r>
    <phoneticPr fontId="3"/>
  </si>
  <si>
    <r>
      <rPr>
        <i/>
        <sz val="10"/>
        <rFont val="Cambria"/>
        <family val="1"/>
      </rPr>
      <t>Q</t>
    </r>
    <r>
      <rPr>
        <vertAlign val="subscript"/>
        <sz val="10"/>
        <rFont val="Century"/>
        <family val="1"/>
      </rPr>
      <t>cH</t>
    </r>
    <r>
      <rPr>
        <sz val="10"/>
        <rFont val="ＭＳ Ｐゴシック"/>
        <family val="3"/>
        <charset val="128"/>
      </rPr>
      <t xml:space="preserve"> = </t>
    </r>
    <phoneticPr fontId="3"/>
  </si>
  <si>
    <r>
      <rPr>
        <i/>
        <sz val="10"/>
        <rFont val="Cambria"/>
        <family val="1"/>
      </rPr>
      <t>Q</t>
    </r>
    <r>
      <rPr>
        <vertAlign val="subscript"/>
        <sz val="10"/>
        <rFont val="Century"/>
        <family val="1"/>
      </rPr>
      <t>c0H</t>
    </r>
    <r>
      <rPr>
        <sz val="10"/>
        <rFont val="ＭＳ Ｐゴシック"/>
        <family val="3"/>
        <charset val="128"/>
      </rPr>
      <t xml:space="preserve"> =</t>
    </r>
    <phoneticPr fontId="3"/>
  </si>
  <si>
    <r>
      <rPr>
        <i/>
        <sz val="10"/>
        <rFont val="Cambria"/>
        <family val="1"/>
      </rPr>
      <t>Q</t>
    </r>
    <r>
      <rPr>
        <vertAlign val="subscript"/>
        <sz val="10"/>
        <rFont val="Century"/>
        <family val="1"/>
      </rPr>
      <t>i</t>
    </r>
    <r>
      <rPr>
        <vertAlign val="subscript"/>
        <sz val="10"/>
        <rFont val="ＭＳ Ｐゴシック"/>
        <family val="3"/>
        <charset val="128"/>
      </rPr>
      <t xml:space="preserve"> </t>
    </r>
    <r>
      <rPr>
        <sz val="10"/>
        <rFont val="ＭＳ Ｐゴシック"/>
        <family val="3"/>
        <charset val="128"/>
      </rPr>
      <t>=</t>
    </r>
    <r>
      <rPr>
        <sz val="10"/>
        <rFont val="Century"/>
        <family val="1"/>
      </rPr>
      <t xml:space="preserve"> </t>
    </r>
    <phoneticPr fontId="3"/>
  </si>
  <si>
    <r>
      <rPr>
        <i/>
        <sz val="10"/>
        <rFont val="Cambria"/>
        <family val="1"/>
      </rPr>
      <t>Q</t>
    </r>
    <r>
      <rPr>
        <vertAlign val="subscript"/>
        <sz val="10"/>
        <rFont val="Century"/>
        <family val="1"/>
      </rPr>
      <t>i</t>
    </r>
    <r>
      <rPr>
        <sz val="10"/>
        <rFont val="ＭＳ Ｐゴシック"/>
        <family val="3"/>
        <charset val="128"/>
      </rPr>
      <t xml:space="preserve"> : 待機時消費電力量[kWh/h]</t>
    </r>
    <phoneticPr fontId="3"/>
  </si>
  <si>
    <t/>
  </si>
  <si>
    <r>
      <t xml:space="preserve">1 </t>
    </r>
    <r>
      <rPr>
        <sz val="10"/>
        <rFont val="ＭＳ Ｐゴシック"/>
        <family val="3"/>
        <charset val="128"/>
      </rPr>
      <t>回目</t>
    </r>
    <rPh sb="2" eb="4">
      <t>カイメ</t>
    </rPh>
    <phoneticPr fontId="3"/>
  </si>
  <si>
    <r>
      <t xml:space="preserve">2 </t>
    </r>
    <r>
      <rPr>
        <sz val="10"/>
        <rFont val="ＭＳ Ｐゴシック"/>
        <family val="3"/>
        <charset val="128"/>
      </rPr>
      <t>回目</t>
    </r>
    <rPh sb="2" eb="4">
      <t>カイメ</t>
    </rPh>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</si>
  <si>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試験機器の最大消費電力[kW]</t>
    </r>
    <rPh sb="10" eb="12">
      <t>サイダイ</t>
    </rPh>
    <rPh sb="12" eb="14">
      <t>ショウヒ</t>
    </rPh>
    <rPh sb="14" eb="16">
      <t>デンリョク</t>
    </rPh>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</si>
  <si>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</si>
  <si>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rPr>
        <sz val="11"/>
        <rFont val="ＭＳ Ｐゴシック"/>
        <family val="3"/>
        <charset val="128"/>
      </rPr>
      <t>試験機器の最大消費電力</t>
    </r>
    <rPh sb="0" eb="2">
      <t>シケン</t>
    </rPh>
    <rPh sb="2" eb="4">
      <t>キキ</t>
    </rPh>
    <rPh sb="5" eb="7">
      <t>サイダイ</t>
    </rPh>
    <rPh sb="7" eb="9">
      <t>ショウヒ</t>
    </rPh>
    <rPh sb="9" eb="11">
      <t>デンリョク</t>
    </rPh>
    <phoneticPr fontId="3"/>
  </si>
  <si>
    <t>給湯接続/給水接続</t>
    <rPh sb="0" eb="2">
      <t>キュウトウ</t>
    </rPh>
    <rPh sb="2" eb="4">
      <t>セツゾク</t>
    </rPh>
    <rPh sb="5" eb="7">
      <t>キュウスイ</t>
    </rPh>
    <rPh sb="7" eb="9">
      <t>セツゾク</t>
    </rPh>
    <phoneticPr fontId="3"/>
  </si>
  <si>
    <r>
      <t>T</t>
    </r>
    <r>
      <rPr>
        <vertAlign val="subscript"/>
        <sz val="14"/>
        <rFont val="Century"/>
        <family val="1"/>
      </rPr>
      <t>s</t>
    </r>
    <phoneticPr fontId="3"/>
  </si>
  <si>
    <r>
      <t>Ｖ</t>
    </r>
    <r>
      <rPr>
        <vertAlign val="subscript"/>
        <sz val="14"/>
        <rFont val="Century"/>
        <family val="1"/>
      </rPr>
      <t>c</t>
    </r>
    <phoneticPr fontId="3"/>
  </si>
  <si>
    <r>
      <t>W</t>
    </r>
    <r>
      <rPr>
        <vertAlign val="subscript"/>
        <sz val="14"/>
        <rFont val="Century"/>
        <family val="1"/>
      </rPr>
      <t>s</t>
    </r>
    <phoneticPr fontId="3"/>
  </si>
  <si>
    <r>
      <t>W</t>
    </r>
    <r>
      <rPr>
        <vertAlign val="subscript"/>
        <sz val="14"/>
        <rFont val="Century"/>
        <family val="1"/>
      </rPr>
      <t>c</t>
    </r>
    <phoneticPr fontId="3"/>
  </si>
  <si>
    <r>
      <rPr>
        <i/>
        <sz val="14"/>
        <rFont val="Cambria"/>
        <family val="1"/>
      </rPr>
      <t>Q</t>
    </r>
    <r>
      <rPr>
        <vertAlign val="subscript"/>
        <sz val="14"/>
        <rFont val="Century"/>
        <family val="1"/>
      </rPr>
      <t>s</t>
    </r>
    <phoneticPr fontId="3"/>
  </si>
  <si>
    <r>
      <rPr>
        <i/>
        <sz val="14"/>
        <rFont val="Cambria"/>
        <family val="1"/>
      </rPr>
      <t>Q</t>
    </r>
    <r>
      <rPr>
        <vertAlign val="subscript"/>
        <sz val="14"/>
        <rFont val="Century"/>
        <family val="1"/>
      </rPr>
      <t>c0</t>
    </r>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</si>
  <si>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</si>
  <si>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Century"/>
        <family val="1"/>
      </rPr>
      <t>i</t>
    </r>
    <phoneticPr fontId="3"/>
  </si>
  <si>
    <r>
      <rPr>
        <i/>
        <sz val="14"/>
        <rFont val="Cambria"/>
        <family val="1"/>
      </rPr>
      <t>Q</t>
    </r>
    <r>
      <rPr>
        <vertAlign val="subscript"/>
        <sz val="14"/>
        <rFont val="Century"/>
        <family val="1"/>
      </rPr>
      <t>dH</t>
    </r>
    <phoneticPr fontId="3"/>
  </si>
  <si>
    <r>
      <rPr>
        <i/>
        <sz val="12"/>
        <rFont val="Century"/>
        <family val="1"/>
      </rPr>
      <t>T</t>
    </r>
    <r>
      <rPr>
        <vertAlign val="subscript"/>
        <sz val="12"/>
        <rFont val="Century"/>
        <family val="1"/>
      </rPr>
      <t>s</t>
    </r>
    <r>
      <rPr>
        <sz val="12"/>
        <rFont val="ＭＳ Ｐゴシック"/>
        <family val="3"/>
        <charset val="128"/>
      </rPr>
      <t xml:space="preserve">： 立上り性能[min] </t>
    </r>
    <phoneticPr fontId="3"/>
  </si>
  <si>
    <r>
      <rPr>
        <i/>
        <sz val="14"/>
        <rFont val="Century"/>
        <family val="1"/>
      </rPr>
      <t>T</t>
    </r>
    <r>
      <rPr>
        <vertAlign val="subscript"/>
        <sz val="14"/>
        <rFont val="Century"/>
        <family val="1"/>
      </rPr>
      <t>s</t>
    </r>
    <r>
      <rPr>
        <i/>
        <vertAlign val="subscript"/>
        <sz val="10"/>
        <rFont val="ＭＳ Ｐゴシック"/>
        <family val="3"/>
        <charset val="128"/>
      </rPr>
      <t xml:space="preserve"> </t>
    </r>
    <r>
      <rPr>
        <sz val="10"/>
        <rFont val="ＭＳ Ｐゴシック"/>
        <family val="3"/>
        <charset val="128"/>
      </rPr>
      <t xml:space="preserve">最大値= </t>
    </r>
    <rPh sb="3" eb="6">
      <t>サイダイチ</t>
    </rPh>
    <phoneticPr fontId="3"/>
  </si>
  <si>
    <r>
      <t>T</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平均値</t>
    </r>
    <r>
      <rPr>
        <i/>
        <vertAlign val="subscript"/>
        <sz val="10"/>
        <rFont val="ＭＳ Ｐゴシック"/>
        <family val="3"/>
        <charset val="128"/>
      </rPr>
      <t xml:space="preserve"> </t>
    </r>
    <r>
      <rPr>
        <sz val="10"/>
        <rFont val="ＭＳ Ｐゴシック"/>
        <family val="3"/>
        <charset val="128"/>
      </rPr>
      <t xml:space="preserve">= </t>
    </r>
    <rPh sb="3" eb="6">
      <t>ヘイキンチ</t>
    </rPh>
    <phoneticPr fontId="3"/>
  </si>
  <si>
    <r>
      <rPr>
        <i/>
        <sz val="10"/>
        <rFont val="Centaur"/>
        <family val="1"/>
      </rPr>
      <t xml:space="preserve">C </t>
    </r>
    <r>
      <rPr>
        <sz val="10"/>
        <rFont val="ＭＳ Ｐゴシック"/>
        <family val="3"/>
        <charset val="128"/>
      </rPr>
      <t>：</t>
    </r>
    <r>
      <rPr>
        <sz val="10"/>
        <rFont val="Centaur"/>
        <family val="1"/>
      </rPr>
      <t xml:space="preserve"> </t>
    </r>
    <r>
      <rPr>
        <sz val="10"/>
        <rFont val="ＭＳ Ｐゴシック"/>
        <family val="3"/>
        <charset val="128"/>
      </rPr>
      <t>水の比熱</t>
    </r>
    <r>
      <rPr>
        <sz val="10"/>
        <rFont val="Century"/>
        <family val="1"/>
      </rPr>
      <t xml:space="preserve"> 4.19kJ/kg</t>
    </r>
    <r>
      <rPr>
        <sz val="10"/>
        <rFont val="ＭＳ Ｐゴシック"/>
        <family val="3"/>
        <charset val="128"/>
      </rPr>
      <t>℃</t>
    </r>
    <phoneticPr fontId="3"/>
  </si>
  <si>
    <r>
      <rPr>
        <i/>
        <sz val="10"/>
        <rFont val="Cambria"/>
        <family val="1"/>
      </rPr>
      <t>Q</t>
    </r>
    <r>
      <rPr>
        <vertAlign val="subscript"/>
        <sz val="10"/>
        <rFont val="Century"/>
        <family val="1"/>
      </rPr>
      <t>s</t>
    </r>
    <r>
      <rPr>
        <sz val="10"/>
        <rFont val="ＭＳ Ｐゴシック"/>
        <family val="3"/>
        <charset val="128"/>
      </rPr>
      <t xml:space="preserve"> =</t>
    </r>
    <phoneticPr fontId="3"/>
  </si>
  <si>
    <r>
      <rPr>
        <i/>
        <sz val="14"/>
        <rFont val="Cambria"/>
        <family val="1"/>
      </rPr>
      <t>Q</t>
    </r>
    <r>
      <rPr>
        <vertAlign val="subscript"/>
        <sz val="14"/>
        <rFont val="Century"/>
        <family val="1"/>
      </rPr>
      <t>s</t>
    </r>
    <r>
      <rPr>
        <sz val="10"/>
        <rFont val="ＭＳ Ｐゴシック"/>
        <family val="3"/>
        <charset val="128"/>
      </rPr>
      <t xml:space="preserve"> 平均値=</t>
    </r>
    <rPh sb="3" eb="6">
      <t>ヘイキンチ</t>
    </rPh>
    <phoneticPr fontId="3"/>
  </si>
  <si>
    <t xml:space="preserve">                         </t>
    <phoneticPr fontId="3"/>
  </si>
  <si>
    <r>
      <rPr>
        <i/>
        <sz val="10"/>
        <rFont val="Cambria"/>
        <family val="1"/>
      </rPr>
      <t>Q</t>
    </r>
    <r>
      <rPr>
        <vertAlign val="subscript"/>
        <sz val="10"/>
        <rFont val="Century"/>
        <family val="1"/>
      </rPr>
      <t>c0</t>
    </r>
    <r>
      <rPr>
        <sz val="10"/>
        <rFont val="ＭＳ Ｐゴシック"/>
        <family val="3"/>
        <charset val="128"/>
      </rPr>
      <t xml:space="preserve"> : 試験食器なし処理時消費電力量[kWh/h]</t>
    </r>
    <phoneticPr fontId="3"/>
  </si>
  <si>
    <r>
      <rPr>
        <i/>
        <sz val="10"/>
        <rFont val="Cambria"/>
        <family val="1"/>
      </rPr>
      <t>Q</t>
    </r>
    <r>
      <rPr>
        <vertAlign val="subscript"/>
        <sz val="10"/>
        <rFont val="Century"/>
        <family val="1"/>
      </rPr>
      <t>c0</t>
    </r>
    <r>
      <rPr>
        <sz val="10"/>
        <rFont val="ＭＳ Ｐゴシック"/>
        <family val="3"/>
        <charset val="128"/>
      </rPr>
      <t xml:space="preserve"> =</t>
    </r>
    <phoneticPr fontId="3"/>
  </si>
  <si>
    <r>
      <rPr>
        <i/>
        <sz val="14"/>
        <rFont val="Cambria"/>
        <family val="1"/>
      </rPr>
      <t>Q</t>
    </r>
    <r>
      <rPr>
        <vertAlign val="subscript"/>
        <sz val="14"/>
        <rFont val="Century"/>
        <family val="1"/>
      </rPr>
      <t>c0</t>
    </r>
    <r>
      <rPr>
        <sz val="10"/>
        <rFont val="ＭＳ Ｐゴシック"/>
        <family val="3"/>
        <charset val="128"/>
      </rPr>
      <t xml:space="preserve"> 平均値=</t>
    </r>
    <rPh sb="4" eb="7">
      <t>ヘイキンチ</t>
    </rPh>
    <phoneticPr fontId="3"/>
  </si>
  <si>
    <r>
      <rPr>
        <i/>
        <sz val="10"/>
        <rFont val="Cambria"/>
        <family val="1"/>
      </rPr>
      <t>Q</t>
    </r>
    <r>
      <rPr>
        <vertAlign val="subscript"/>
        <sz val="10"/>
        <rFont val="Century"/>
        <family val="1"/>
      </rPr>
      <t xml:space="preserve">c </t>
    </r>
    <r>
      <rPr>
        <sz val="10"/>
        <rFont val="ＭＳ Ｐゴシック"/>
        <family val="3"/>
        <charset val="128"/>
      </rPr>
      <t>:  給湯接続時の処理時消費電力量[kWh/h]</t>
    </r>
    <phoneticPr fontId="3"/>
  </si>
  <si>
    <r>
      <rPr>
        <i/>
        <sz val="14"/>
        <rFont val="Cambria"/>
        <family val="1"/>
      </rPr>
      <t>Q</t>
    </r>
    <r>
      <rPr>
        <vertAlign val="subscript"/>
        <sz val="14"/>
        <rFont val="Century"/>
        <family val="1"/>
      </rPr>
      <t>c</t>
    </r>
    <r>
      <rPr>
        <sz val="10"/>
        <rFont val="ＭＳ Ｐゴシック"/>
        <family val="3"/>
        <charset val="128"/>
      </rPr>
      <t xml:space="preserve"> = </t>
    </r>
    <phoneticPr fontId="3"/>
  </si>
  <si>
    <r>
      <rPr>
        <i/>
        <sz val="10"/>
        <rFont val="Cambria"/>
        <family val="1"/>
      </rPr>
      <t>Q</t>
    </r>
    <r>
      <rPr>
        <vertAlign val="subscript"/>
        <sz val="10"/>
        <rFont val="Century"/>
        <family val="1"/>
      </rPr>
      <t xml:space="preserve">dH </t>
    </r>
    <r>
      <rPr>
        <sz val="10"/>
        <rFont val="ＭＳ Ｐゴシック"/>
        <family val="3"/>
        <charset val="128"/>
      </rPr>
      <t>:  日あたり消費電力量（時間想定）[kWh/日]</t>
    </r>
    <phoneticPr fontId="3"/>
  </si>
  <si>
    <r>
      <rPr>
        <i/>
        <sz val="14"/>
        <rFont val="Cambria"/>
        <family val="1"/>
      </rPr>
      <t>Q</t>
    </r>
    <r>
      <rPr>
        <vertAlign val="subscript"/>
        <sz val="14"/>
        <rFont val="Century"/>
        <family val="1"/>
      </rPr>
      <t xml:space="preserve">dH </t>
    </r>
    <r>
      <rPr>
        <sz val="10"/>
        <rFont val="ＭＳ Ｐゴシック"/>
        <family val="3"/>
        <charset val="128"/>
      </rPr>
      <t>=</t>
    </r>
    <phoneticPr fontId="3"/>
  </si>
  <si>
    <r>
      <rPr>
        <i/>
        <sz val="10"/>
        <rFont val="Cambria"/>
        <family val="1"/>
      </rPr>
      <t>Q</t>
    </r>
    <r>
      <rPr>
        <vertAlign val="subscript"/>
        <sz val="10"/>
        <rFont val="Century"/>
        <family val="1"/>
      </rPr>
      <t xml:space="preserve">s </t>
    </r>
    <r>
      <rPr>
        <sz val="10"/>
        <rFont val="ＭＳ Ｐゴシック"/>
        <family val="3"/>
        <charset val="128"/>
      </rPr>
      <t>:  立上り時消費電力量[kWh/回]</t>
    </r>
    <rPh sb="20" eb="21">
      <t>カイ</t>
    </rPh>
    <phoneticPr fontId="3"/>
  </si>
  <si>
    <r>
      <rPr>
        <i/>
        <sz val="10"/>
        <rFont val="Cambria"/>
        <family val="1"/>
      </rPr>
      <t>Q</t>
    </r>
    <r>
      <rPr>
        <vertAlign val="subscript"/>
        <sz val="10"/>
        <rFont val="Century"/>
        <family val="1"/>
      </rPr>
      <t xml:space="preserve">c </t>
    </r>
    <r>
      <rPr>
        <sz val="10"/>
        <rFont val="ＭＳ Ｐゴシック"/>
        <family val="3"/>
        <charset val="128"/>
      </rPr>
      <t>:  処理時消費電力量[kWh/h]</t>
    </r>
    <phoneticPr fontId="3"/>
  </si>
  <si>
    <r>
      <rPr>
        <i/>
        <sz val="10"/>
        <rFont val="Cambria"/>
        <family val="1"/>
      </rPr>
      <t>Q</t>
    </r>
    <r>
      <rPr>
        <vertAlign val="subscript"/>
        <sz val="10"/>
        <rFont val="Century"/>
        <family val="1"/>
      </rPr>
      <t>c0</t>
    </r>
    <r>
      <rPr>
        <sz val="10"/>
        <rFont val="ＭＳ Ｐゴシック"/>
        <family val="3"/>
        <charset val="128"/>
      </rPr>
      <t xml:space="preserve"> :  試験食器なし処理時消費電力量[kWh/h]</t>
    </r>
    <phoneticPr fontId="3"/>
  </si>
  <si>
    <t>業務用厨房熱機器等性能測定結果　【電気機器】</t>
    <rPh sb="0" eb="3">
      <t>ギョウムヨウ</t>
    </rPh>
    <rPh sb="3" eb="5">
      <t>チュウボウ</t>
    </rPh>
    <rPh sb="5" eb="6">
      <t>ネツ</t>
    </rPh>
    <rPh sb="6" eb="9">
      <t>キキナド</t>
    </rPh>
    <rPh sb="9" eb="11">
      <t>セイノウ</t>
    </rPh>
    <rPh sb="11" eb="13">
      <t>ソクテイ</t>
    </rPh>
    <rPh sb="13" eb="15">
      <t>ケッカ</t>
    </rPh>
    <rPh sb="17" eb="19">
      <t>デンキ</t>
    </rPh>
    <rPh sb="19" eb="21">
      <t>キキ</t>
    </rPh>
    <phoneticPr fontId="3"/>
  </si>
  <si>
    <t>性能測定
結　果</t>
    <rPh sb="2" eb="4">
      <t>ソクテイ</t>
    </rPh>
    <phoneticPr fontId="3"/>
  </si>
  <si>
    <t>品　目</t>
    <rPh sb="0" eb="1">
      <t>シナ</t>
    </rPh>
    <rPh sb="2" eb="3">
      <t>メ</t>
    </rPh>
    <phoneticPr fontId="3"/>
  </si>
  <si>
    <r>
      <t>　　　　</t>
    </r>
    <r>
      <rPr>
        <sz val="10"/>
        <rFont val="Century"/>
        <family val="1"/>
      </rPr>
      <t xml:space="preserve"> </t>
    </r>
    <r>
      <rPr>
        <sz val="10"/>
        <rFont val="ＭＳ Ｐゴシック"/>
        <family val="3"/>
        <charset val="128"/>
      </rPr>
      <t>　： 給水温度</t>
    </r>
    <r>
      <rPr>
        <sz val="10"/>
        <rFont val="Century"/>
        <family val="1"/>
      </rPr>
      <t>[</t>
    </r>
    <r>
      <rPr>
        <sz val="10"/>
        <rFont val="ＭＳ Ｐゴシック"/>
        <family val="3"/>
        <charset val="128"/>
      </rPr>
      <t>℃</t>
    </r>
    <r>
      <rPr>
        <sz val="10"/>
        <rFont val="Century"/>
        <family val="1"/>
      </rPr>
      <t>]</t>
    </r>
    <rPh sb="9" eb="10">
      <t>スイ</t>
    </rPh>
    <phoneticPr fontId="3"/>
  </si>
  <si>
    <r>
      <rPr>
        <sz val="10"/>
        <rFont val="Century"/>
        <family val="1"/>
      </rPr>
      <t xml:space="preserve"> </t>
    </r>
    <r>
      <rPr>
        <sz val="10"/>
        <rFont val="ＭＳ Ｐゴシック"/>
        <family val="3"/>
        <charset val="128"/>
      </rPr>
      <t>　　　　</t>
    </r>
    <r>
      <rPr>
        <sz val="10"/>
        <rFont val="ＭＳ Ｐゴシック"/>
        <family val="3"/>
        <charset val="128"/>
      </rPr>
      <t>　： 給湯温度</t>
    </r>
    <r>
      <rPr>
        <sz val="10"/>
        <rFont val="Century"/>
        <family val="1"/>
      </rPr>
      <t>[</t>
    </r>
    <r>
      <rPr>
        <sz val="10"/>
        <rFont val="ＭＳ Ｐゴシック"/>
        <family val="3"/>
        <charset val="128"/>
      </rPr>
      <t>℃</t>
    </r>
    <r>
      <rPr>
        <sz val="10"/>
        <rFont val="Century"/>
        <family val="1"/>
      </rPr>
      <t>]</t>
    </r>
    <phoneticPr fontId="3"/>
  </si>
  <si>
    <t>=</t>
    <phoneticPr fontId="3"/>
  </si>
  <si>
    <r>
      <rPr>
        <vertAlign val="subscript"/>
        <sz val="10"/>
        <rFont val="ＭＳ Ｐゴシック"/>
        <family val="3"/>
        <charset val="128"/>
      </rPr>
      <t xml:space="preserve">    </t>
    </r>
    <r>
      <rPr>
        <vertAlign val="subscript"/>
        <sz val="10"/>
        <rFont val="Century"/>
        <family val="1"/>
      </rPr>
      <t xml:space="preserve">  </t>
    </r>
    <r>
      <rPr>
        <sz val="10"/>
        <rFont val="ＭＳ Ｐゴシック"/>
        <family val="3"/>
        <charset val="128"/>
      </rPr>
      <t>： 給湯温度</t>
    </r>
    <r>
      <rPr>
        <sz val="10"/>
        <rFont val="Century"/>
        <family val="1"/>
      </rPr>
      <t>[</t>
    </r>
    <r>
      <rPr>
        <sz val="10"/>
        <rFont val="ＭＳ Ｐゴシック"/>
        <family val="3"/>
        <charset val="128"/>
      </rPr>
      <t>℃</t>
    </r>
    <r>
      <rPr>
        <sz val="10"/>
        <rFont val="Century"/>
        <family val="1"/>
      </rPr>
      <t>]</t>
    </r>
    <phoneticPr fontId="3"/>
  </si>
  <si>
    <r>
      <rPr>
        <vertAlign val="subscript"/>
        <sz val="10"/>
        <rFont val="ＭＳ Ｐゴシック"/>
        <family val="3"/>
        <charset val="128"/>
      </rPr>
      <t xml:space="preserve">    </t>
    </r>
    <r>
      <rPr>
        <vertAlign val="subscript"/>
        <sz val="10"/>
        <rFont val="Century"/>
        <family val="1"/>
      </rPr>
      <t xml:space="preserve">  </t>
    </r>
    <r>
      <rPr>
        <sz val="10"/>
        <rFont val="ＭＳ Ｐゴシック"/>
        <family val="3"/>
        <charset val="128"/>
      </rPr>
      <t>： 給水温度</t>
    </r>
    <r>
      <rPr>
        <sz val="10"/>
        <rFont val="Century"/>
        <family val="1"/>
      </rPr>
      <t>[</t>
    </r>
    <r>
      <rPr>
        <sz val="10"/>
        <rFont val="ＭＳ Ｐゴシック"/>
        <family val="3"/>
        <charset val="128"/>
      </rPr>
      <t>℃</t>
    </r>
    <r>
      <rPr>
        <sz val="10"/>
        <rFont val="Century"/>
        <family val="1"/>
      </rPr>
      <t>]</t>
    </r>
    <rPh sb="9" eb="10">
      <t>スイ</t>
    </rPh>
    <phoneticPr fontId="3"/>
  </si>
  <si>
    <t>=</t>
    <phoneticPr fontId="3"/>
  </si>
  <si>
    <t>=</t>
    <phoneticPr fontId="3"/>
  </si>
  <si>
    <r>
      <t>　試験機器の初期状態は、予備洗浄タンク、洗浄タンクおよび循環すすぎタンクはすべて空、ならびに、仕上げすすぎタンクは満水とする。初期状態の試験機器を室温になじませた後、仕上げすすぎタンクの水の初温</t>
    </r>
    <r>
      <rPr>
        <i/>
        <sz val="10"/>
        <rFont val="Symbol"/>
        <family val="1"/>
        <charset val="2"/>
      </rPr>
      <t>q</t>
    </r>
    <r>
      <rPr>
        <vertAlign val="subscript"/>
        <sz val="10"/>
        <rFont val="Century"/>
        <family val="1"/>
      </rPr>
      <t xml:space="preserve">s </t>
    </r>
    <r>
      <rPr>
        <sz val="10"/>
        <rFont val="Century"/>
        <family val="1"/>
      </rPr>
      <t>[</t>
    </r>
    <r>
      <rPr>
        <sz val="10"/>
        <rFont val="ＭＳ Ｐゴシック"/>
        <family val="3"/>
        <charset val="128"/>
      </rPr>
      <t>℃</t>
    </r>
    <r>
      <rPr>
        <sz val="10"/>
        <rFont val="Century"/>
        <family val="1"/>
      </rPr>
      <t xml:space="preserve">] </t>
    </r>
    <r>
      <rPr>
        <sz val="10"/>
        <rFont val="ＭＳ Ｐゴシック"/>
        <family val="3"/>
        <charset val="128"/>
      </rPr>
      <t>を測定する。
　最大入力で給湯</t>
    </r>
    <r>
      <rPr>
        <sz val="10"/>
        <rFont val="Century"/>
        <family val="1"/>
      </rPr>
      <t>(</t>
    </r>
    <r>
      <rPr>
        <sz val="10"/>
        <rFont val="ＭＳ Ｐゴシック"/>
        <family val="3"/>
        <charset val="128"/>
      </rPr>
      <t>給水</t>
    </r>
    <r>
      <rPr>
        <sz val="10"/>
        <rFont val="Century"/>
        <family val="1"/>
      </rPr>
      <t>)</t>
    </r>
    <r>
      <rPr>
        <sz val="10"/>
        <rFont val="ＭＳ Ｐゴシック"/>
        <family val="3"/>
        <charset val="128"/>
      </rPr>
      <t>および加熱を始め、予備洗浄タンクが</t>
    </r>
    <r>
      <rPr>
        <sz val="10"/>
        <rFont val="Century"/>
        <family val="1"/>
      </rPr>
      <t xml:space="preserve">40 </t>
    </r>
    <r>
      <rPr>
        <sz val="10"/>
        <rFont val="ＭＳ Ｐゴシック"/>
        <family val="3"/>
        <charset val="128"/>
      </rPr>
      <t>℃以上の満水に達した時間</t>
    </r>
    <r>
      <rPr>
        <i/>
        <sz val="10"/>
        <rFont val="Century"/>
        <family val="1"/>
      </rPr>
      <t>T</t>
    </r>
    <r>
      <rPr>
        <vertAlign val="subscript"/>
        <sz val="10"/>
        <rFont val="Century"/>
        <family val="1"/>
      </rPr>
      <t xml:space="preserve">1 </t>
    </r>
    <r>
      <rPr>
        <sz val="10"/>
        <rFont val="Century"/>
        <family val="1"/>
      </rPr>
      <t>[min]</t>
    </r>
    <r>
      <rPr>
        <sz val="10"/>
        <rFont val="ＭＳ Ｐゴシック"/>
        <family val="3"/>
        <charset val="128"/>
      </rPr>
      <t>、洗浄タンクが</t>
    </r>
    <r>
      <rPr>
        <sz val="10"/>
        <rFont val="Century"/>
        <family val="1"/>
      </rPr>
      <t xml:space="preserve">60 </t>
    </r>
    <r>
      <rPr>
        <sz val="10"/>
        <rFont val="ＭＳ Ｐゴシック"/>
        <family val="3"/>
        <charset val="128"/>
      </rPr>
      <t>℃以上の満水に達した時間</t>
    </r>
    <r>
      <rPr>
        <i/>
        <sz val="10"/>
        <rFont val="Century"/>
        <family val="1"/>
      </rPr>
      <t>T</t>
    </r>
    <r>
      <rPr>
        <vertAlign val="subscript"/>
        <sz val="10"/>
        <rFont val="Century"/>
        <family val="1"/>
      </rPr>
      <t xml:space="preserve">2 </t>
    </r>
    <r>
      <rPr>
        <sz val="10"/>
        <rFont val="Century"/>
        <family val="1"/>
      </rPr>
      <t>[min]</t>
    </r>
    <r>
      <rPr>
        <sz val="10"/>
        <rFont val="ＭＳ Ｐゴシック"/>
        <family val="3"/>
        <charset val="128"/>
      </rPr>
      <t>、循環すすぎタンクが</t>
    </r>
    <r>
      <rPr>
        <sz val="10"/>
        <rFont val="Century"/>
        <family val="1"/>
      </rPr>
      <t xml:space="preserve">65 </t>
    </r>
    <r>
      <rPr>
        <sz val="10"/>
        <rFont val="ＭＳ Ｐゴシック"/>
        <family val="3"/>
        <charset val="128"/>
      </rPr>
      <t>℃以上の満水に達した時間</t>
    </r>
    <r>
      <rPr>
        <i/>
        <sz val="10"/>
        <rFont val="Century"/>
        <family val="1"/>
      </rPr>
      <t>T</t>
    </r>
    <r>
      <rPr>
        <vertAlign val="subscript"/>
        <sz val="10"/>
        <rFont val="Century"/>
        <family val="1"/>
      </rPr>
      <t xml:space="preserve">3 </t>
    </r>
    <r>
      <rPr>
        <sz val="10"/>
        <rFont val="Century"/>
        <family val="1"/>
      </rPr>
      <t xml:space="preserve">[min] </t>
    </r>
    <r>
      <rPr>
        <sz val="10"/>
        <rFont val="ＭＳ Ｐゴシック"/>
        <family val="3"/>
        <charset val="128"/>
      </rPr>
      <t>および仕上げすすぎタンクが</t>
    </r>
    <r>
      <rPr>
        <sz val="10"/>
        <rFont val="Century"/>
        <family val="1"/>
      </rPr>
      <t xml:space="preserve">80 </t>
    </r>
    <r>
      <rPr>
        <sz val="10"/>
        <rFont val="ＭＳ Ｐゴシック"/>
        <family val="3"/>
        <charset val="128"/>
      </rPr>
      <t>℃以上の満水に達した時間</t>
    </r>
    <r>
      <rPr>
        <i/>
        <sz val="10"/>
        <rFont val="Century"/>
        <family val="1"/>
      </rPr>
      <t>T</t>
    </r>
    <r>
      <rPr>
        <vertAlign val="subscript"/>
        <sz val="10"/>
        <rFont val="Century"/>
        <family val="1"/>
      </rPr>
      <t xml:space="preserve">4 </t>
    </r>
    <r>
      <rPr>
        <sz val="10"/>
        <rFont val="Century"/>
        <family val="1"/>
      </rPr>
      <t xml:space="preserve">[min] </t>
    </r>
    <r>
      <rPr>
        <sz val="10"/>
        <rFont val="ＭＳ Ｐゴシック"/>
        <family val="3"/>
        <charset val="128"/>
      </rPr>
      <t>、ならびに、すべてが達した時間までの消費電力量</t>
    </r>
    <r>
      <rPr>
        <i/>
        <sz val="10"/>
        <rFont val="Century"/>
        <family val="1"/>
      </rPr>
      <t>P</t>
    </r>
    <r>
      <rPr>
        <vertAlign val="subscript"/>
        <sz val="10"/>
        <rFont val="Century"/>
        <family val="1"/>
      </rPr>
      <t>s</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を測定する。立上り性能</t>
    </r>
    <r>
      <rPr>
        <i/>
        <sz val="10"/>
        <rFont val="Century"/>
        <family val="1"/>
      </rPr>
      <t>T</t>
    </r>
    <r>
      <rPr>
        <vertAlign val="subscript"/>
        <sz val="10"/>
        <rFont val="Century"/>
        <family val="1"/>
      </rPr>
      <t xml:space="preserve">s </t>
    </r>
    <r>
      <rPr>
        <sz val="10"/>
        <rFont val="Century"/>
        <family val="1"/>
      </rPr>
      <t>[min]</t>
    </r>
    <r>
      <rPr>
        <sz val="10"/>
        <rFont val="ＭＳ Ｐゴシック"/>
        <family val="3"/>
        <charset val="128"/>
      </rPr>
      <t>は、次式の最大値になる。
　待機状態は、洗浄ポンプおよびコンベアが停止した状態であり、予備洗浄タンクが</t>
    </r>
    <r>
      <rPr>
        <sz val="10"/>
        <rFont val="Century"/>
        <family val="1"/>
      </rPr>
      <t xml:space="preserve">40 </t>
    </r>
    <r>
      <rPr>
        <sz val="10"/>
        <rFont val="ＭＳ Ｐゴシック"/>
        <family val="3"/>
        <charset val="128"/>
      </rPr>
      <t>℃以上の満水、洗浄タンクが</t>
    </r>
    <r>
      <rPr>
        <sz val="10"/>
        <rFont val="Century"/>
        <family val="1"/>
      </rPr>
      <t xml:space="preserve">60 </t>
    </r>
    <r>
      <rPr>
        <sz val="10"/>
        <rFont val="ＭＳ Ｐゴシック"/>
        <family val="3"/>
        <charset val="128"/>
      </rPr>
      <t>℃以上の満水、循環すすぎタンクが</t>
    </r>
    <r>
      <rPr>
        <sz val="10"/>
        <rFont val="Century"/>
        <family val="1"/>
      </rPr>
      <t xml:space="preserve">65 </t>
    </r>
    <r>
      <rPr>
        <sz val="10"/>
        <rFont val="ＭＳ Ｐゴシック"/>
        <family val="3"/>
        <charset val="128"/>
      </rPr>
      <t>℃以上の満水、ならびに、仕上げすすぎタンクが</t>
    </r>
    <r>
      <rPr>
        <sz val="10"/>
        <rFont val="Century"/>
        <family val="1"/>
      </rPr>
      <t xml:space="preserve">80 </t>
    </r>
    <r>
      <rPr>
        <sz val="10"/>
        <rFont val="ＭＳ Ｐゴシック"/>
        <family val="3"/>
        <charset val="128"/>
      </rPr>
      <t>℃以上の満水とする。ただし、仕上げすすぎタンク、予備洗浄タンクまたは循環すすぎタンクをもたない試験機器の場合には、もたないものに関する条件が満たされているものとみなす。</t>
    </r>
    <rPh sb="319" eb="321">
      <t>ジシキ</t>
    </rPh>
    <phoneticPr fontId="3"/>
  </si>
  <si>
    <r>
      <rPr>
        <sz val="10"/>
        <rFont val="ＭＳ Ｐゴシック"/>
        <family val="3"/>
        <charset val="128"/>
      </rPr>
      <t>　試験機器の初期状態は、予備洗浄タンク、洗浄タンクおよび循環すすぎタンクはすべて空、ならびに、仕上げすすぎタンクは満水とする。試験機器を室温になじませる。
　最大消費電力の測定では、最大入力で給湯（給水）および加熱を始める。洗浄タンクが満水になった後、試験食器または試験食器ラックを投入しないで（試験食器または試験食器ラックの投入が必要な試験機器の場合には、センサーなどを操作して洗浄運転する。）</t>
    </r>
    <r>
      <rPr>
        <sz val="10"/>
        <rFont val="Century"/>
        <family val="1"/>
      </rPr>
      <t xml:space="preserve"> </t>
    </r>
    <r>
      <rPr>
        <sz val="10"/>
        <rFont val="ＭＳ Ｐゴシック"/>
        <family val="3"/>
        <charset val="128"/>
      </rPr>
      <t>、</t>
    </r>
    <r>
      <rPr>
        <sz val="10"/>
        <rFont val="Century"/>
        <family val="1"/>
      </rPr>
      <t>20</t>
    </r>
    <r>
      <rPr>
        <sz val="10"/>
        <rFont val="ＭＳ Ｐゴシック"/>
        <family val="3"/>
        <charset val="128"/>
      </rPr>
      <t>分連続して洗浄運転する。加熱を始めてから洗浄運転を終わるまでの間の消費電力の最大値を試験機器の最大消費電力</t>
    </r>
    <r>
      <rPr>
        <i/>
        <sz val="10"/>
        <rFont val="Century"/>
        <family val="1"/>
      </rPr>
      <t>p</t>
    </r>
    <r>
      <rPr>
        <vertAlign val="subscript"/>
        <sz val="10"/>
        <rFont val="Century"/>
        <family val="1"/>
      </rPr>
      <t>x</t>
    </r>
    <r>
      <rPr>
        <sz val="10"/>
        <rFont val="Century"/>
        <family val="1"/>
      </rPr>
      <t xml:space="preserve"> [kW] </t>
    </r>
    <r>
      <rPr>
        <sz val="10"/>
        <rFont val="ＭＳ Ｐゴシック"/>
        <family val="3"/>
        <charset val="128"/>
      </rPr>
      <t>とする。</t>
    </r>
    <rPh sb="99" eb="101">
      <t>キュウスイ</t>
    </rPh>
    <phoneticPr fontId="3"/>
  </si>
  <si>
    <r>
      <rPr>
        <i/>
        <sz val="10"/>
        <rFont val="ＭＳ Ｐゴシック"/>
        <family val="3"/>
        <charset val="128"/>
      </rPr>
      <t>　　　</t>
    </r>
    <r>
      <rPr>
        <i/>
        <sz val="10"/>
        <rFont val="Century"/>
        <family val="1"/>
      </rPr>
      <t>T</t>
    </r>
    <r>
      <rPr>
        <vertAlign val="subscript"/>
        <sz val="10"/>
        <rFont val="Centaur"/>
        <family val="1"/>
      </rPr>
      <t>1</t>
    </r>
    <r>
      <rPr>
        <sz val="10"/>
        <rFont val="ＭＳ Ｐゴシック"/>
        <family val="3"/>
        <charset val="128"/>
      </rPr>
      <t xml:space="preserve"> ： 予備洗浄タンクが</t>
    </r>
    <r>
      <rPr>
        <sz val="10"/>
        <rFont val="Century"/>
        <family val="1"/>
      </rPr>
      <t>40</t>
    </r>
    <r>
      <rPr>
        <sz val="10"/>
        <rFont val="ＭＳ Ｐゴシック"/>
        <family val="3"/>
        <charset val="128"/>
      </rPr>
      <t>℃以上の満水に達した時間[min]  　</t>
    </r>
    <phoneticPr fontId="3"/>
  </si>
  <si>
    <r>
      <rPr>
        <i/>
        <sz val="10"/>
        <rFont val="ＭＳ Ｐゴシック"/>
        <family val="3"/>
        <charset val="128"/>
      </rPr>
      <t>　　　</t>
    </r>
    <r>
      <rPr>
        <i/>
        <sz val="10"/>
        <rFont val="Century"/>
        <family val="1"/>
      </rPr>
      <t>T</t>
    </r>
    <r>
      <rPr>
        <vertAlign val="subscript"/>
        <sz val="10"/>
        <rFont val="Century"/>
        <family val="1"/>
      </rPr>
      <t xml:space="preserve">2 </t>
    </r>
    <r>
      <rPr>
        <sz val="10"/>
        <rFont val="ＭＳ Ｐゴシック"/>
        <family val="3"/>
        <charset val="128"/>
      </rPr>
      <t>： 洗浄タンクが</t>
    </r>
    <r>
      <rPr>
        <sz val="10"/>
        <rFont val="Century"/>
        <family val="1"/>
      </rPr>
      <t>60</t>
    </r>
    <r>
      <rPr>
        <sz val="10"/>
        <rFont val="ＭＳ Ｐゴシック"/>
        <family val="3"/>
        <charset val="128"/>
      </rPr>
      <t xml:space="preserve">℃以上の満水に達した時間[min] </t>
    </r>
    <phoneticPr fontId="3"/>
  </si>
  <si>
    <r>
      <rPr>
        <i/>
        <sz val="10"/>
        <rFont val="ＭＳ Ｐゴシック"/>
        <family val="3"/>
        <charset val="128"/>
      </rPr>
      <t>　　　</t>
    </r>
    <r>
      <rPr>
        <i/>
        <sz val="10"/>
        <rFont val="Century"/>
        <family val="1"/>
      </rPr>
      <t>T</t>
    </r>
    <r>
      <rPr>
        <vertAlign val="subscript"/>
        <sz val="10"/>
        <rFont val="Century"/>
        <family val="1"/>
      </rPr>
      <t xml:space="preserve">3 </t>
    </r>
    <r>
      <rPr>
        <sz val="10"/>
        <rFont val="ＭＳ Ｐゴシック"/>
        <family val="3"/>
        <charset val="128"/>
      </rPr>
      <t>： 循環すすぎタンクが</t>
    </r>
    <r>
      <rPr>
        <sz val="10"/>
        <rFont val="Century"/>
        <family val="1"/>
      </rPr>
      <t>65</t>
    </r>
    <r>
      <rPr>
        <sz val="10"/>
        <rFont val="ＭＳ Ｐゴシック"/>
        <family val="3"/>
        <charset val="128"/>
      </rPr>
      <t xml:space="preserve">℃以上の満水に達した時間[min] </t>
    </r>
    <phoneticPr fontId="3"/>
  </si>
  <si>
    <r>
      <rPr>
        <i/>
        <sz val="10"/>
        <rFont val="ＭＳ Ｐゴシック"/>
        <family val="3"/>
        <charset val="128"/>
      </rPr>
      <t>　　　</t>
    </r>
    <r>
      <rPr>
        <i/>
        <sz val="10"/>
        <rFont val="Century"/>
        <family val="1"/>
      </rPr>
      <t>T</t>
    </r>
    <r>
      <rPr>
        <vertAlign val="subscript"/>
        <sz val="10"/>
        <rFont val="Century"/>
        <family val="1"/>
      </rPr>
      <t xml:space="preserve">4 </t>
    </r>
    <r>
      <rPr>
        <sz val="10"/>
        <rFont val="ＭＳ Ｐゴシック"/>
        <family val="3"/>
        <charset val="128"/>
      </rPr>
      <t>： 仕上げすすぎタンクが</t>
    </r>
    <r>
      <rPr>
        <sz val="10"/>
        <rFont val="Century"/>
        <family val="1"/>
      </rPr>
      <t>80</t>
    </r>
    <r>
      <rPr>
        <sz val="10"/>
        <rFont val="ＭＳ Ｐゴシック"/>
        <family val="3"/>
        <charset val="128"/>
      </rPr>
      <t xml:space="preserve">℃以上の満水に達した時間[min] </t>
    </r>
    <phoneticPr fontId="3"/>
  </si>
  <si>
    <r>
      <t>　　　</t>
    </r>
    <r>
      <rPr>
        <i/>
        <sz val="10"/>
        <rFont val="Centaur"/>
        <family val="1"/>
      </rPr>
      <t xml:space="preserve">C </t>
    </r>
    <r>
      <rPr>
        <sz val="10"/>
        <rFont val="ＭＳ Ｐゴシック"/>
        <family val="3"/>
        <charset val="128"/>
      </rPr>
      <t>：</t>
    </r>
    <r>
      <rPr>
        <sz val="10"/>
        <rFont val="Centaur"/>
        <family val="1"/>
      </rPr>
      <t xml:space="preserve"> </t>
    </r>
    <r>
      <rPr>
        <sz val="10"/>
        <rFont val="ＭＳ Ｐゴシック"/>
        <family val="3"/>
        <charset val="128"/>
      </rPr>
      <t>水の比熱</t>
    </r>
    <r>
      <rPr>
        <sz val="10"/>
        <rFont val="Centaur"/>
        <family val="1"/>
      </rPr>
      <t xml:space="preserve"> 4.19kJ/kg</t>
    </r>
    <r>
      <rPr>
        <sz val="10"/>
        <rFont val="ＭＳ Ｐゴシック"/>
        <family val="3"/>
        <charset val="128"/>
      </rPr>
      <t>℃</t>
    </r>
    <phoneticPr fontId="3"/>
  </si>
  <si>
    <r>
      <rPr>
        <i/>
        <sz val="10"/>
        <rFont val="Cambria"/>
        <family val="1"/>
      </rPr>
      <t>Q</t>
    </r>
    <r>
      <rPr>
        <vertAlign val="subscript"/>
        <sz val="10"/>
        <rFont val="Century"/>
        <family val="1"/>
      </rPr>
      <t xml:space="preserve">s </t>
    </r>
    <r>
      <rPr>
        <sz val="10"/>
        <rFont val="ＭＳ Ｐゴシック"/>
        <family val="3"/>
        <charset val="128"/>
      </rPr>
      <t>: 立上り時消費電力量[kWh/回]</t>
    </r>
    <rPh sb="19" eb="20">
      <t>カイ</t>
    </rPh>
    <phoneticPr fontId="3"/>
  </si>
  <si>
    <r>
      <rPr>
        <sz val="10"/>
        <rFont val="Century"/>
        <family val="1"/>
      </rPr>
      <t xml:space="preserve"> </t>
    </r>
    <r>
      <rPr>
        <sz val="10"/>
        <rFont val="ＭＳ Ｐゴシック"/>
        <family val="3"/>
        <charset val="128"/>
      </rPr>
      <t>待機状態に達した後、試験食器がない状態で洗浄運転をした時の消費電力量を測定する。給湯（給水）温度および消費電力量の測定時間は、洗浄運転を始めてから</t>
    </r>
    <r>
      <rPr>
        <sz val="10"/>
        <rFont val="Century"/>
        <family val="1"/>
      </rPr>
      <t>1</t>
    </r>
    <r>
      <rPr>
        <sz val="10"/>
        <rFont val="ＭＳ Ｐゴシック"/>
        <family val="3"/>
        <charset val="128"/>
      </rPr>
      <t>時間とする。</t>
    </r>
    <rPh sb="75" eb="77">
      <t>ジカン</t>
    </rPh>
    <phoneticPr fontId="3"/>
  </si>
  <si>
    <r>
      <rPr>
        <i/>
        <sz val="10"/>
        <rFont val="Centaur"/>
        <family val="1"/>
      </rPr>
      <t xml:space="preserve">C </t>
    </r>
    <r>
      <rPr>
        <sz val="10"/>
        <rFont val="ＭＳ Ｐゴシック"/>
        <family val="3"/>
        <charset val="128"/>
      </rPr>
      <t>：</t>
    </r>
    <r>
      <rPr>
        <sz val="10"/>
        <rFont val="Centaur"/>
        <family val="1"/>
      </rPr>
      <t xml:space="preserve"> </t>
    </r>
    <r>
      <rPr>
        <sz val="10"/>
        <rFont val="ＭＳ Ｐゴシック"/>
        <family val="3"/>
        <charset val="128"/>
      </rPr>
      <t xml:space="preserve">水の比熱 </t>
    </r>
    <r>
      <rPr>
        <sz val="10"/>
        <rFont val="Century"/>
        <family val="1"/>
      </rPr>
      <t>4.19kJ/kg</t>
    </r>
    <r>
      <rPr>
        <sz val="10"/>
        <rFont val="ＭＳ Ｐゴシック"/>
        <family val="3"/>
        <charset val="128"/>
      </rPr>
      <t>℃</t>
    </r>
    <phoneticPr fontId="3"/>
  </si>
  <si>
    <r>
      <t xml:space="preserve">  </t>
    </r>
    <r>
      <rPr>
        <sz val="10"/>
        <rFont val="ＭＳ Ｐゴシック"/>
        <family val="3"/>
        <charset val="128"/>
      </rPr>
      <t>処理時消費電力量</t>
    </r>
    <r>
      <rPr>
        <i/>
        <sz val="10"/>
        <rFont val="Century"/>
        <family val="1"/>
      </rPr>
      <t>Q</t>
    </r>
    <r>
      <rPr>
        <vertAlign val="subscript"/>
        <sz val="10"/>
        <rFont val="Century"/>
        <family val="1"/>
      </rPr>
      <t xml:space="preserve">c </t>
    </r>
    <r>
      <rPr>
        <sz val="10"/>
        <rFont val="Century"/>
        <family val="1"/>
      </rPr>
      <t>[kWh/h]</t>
    </r>
    <r>
      <rPr>
        <sz val="10"/>
        <rFont val="ＭＳ Ｐゴシック"/>
        <family val="3"/>
        <charset val="128"/>
      </rPr>
      <t>は、試験食器なし処理時消費電力量</t>
    </r>
    <r>
      <rPr>
        <sz val="10"/>
        <rFont val="Century"/>
        <family val="1"/>
      </rPr>
      <t>Qc0</t>
    </r>
    <r>
      <rPr>
        <sz val="10"/>
        <rFont val="ＭＳ Ｐゴシック"/>
        <family val="3"/>
        <charset val="128"/>
      </rPr>
      <t>　</t>
    </r>
    <r>
      <rPr>
        <sz val="10"/>
        <rFont val="Century"/>
        <family val="1"/>
      </rPr>
      <t>[kWh/h]</t>
    </r>
    <r>
      <rPr>
        <sz val="10"/>
        <rFont val="ＭＳ Ｐゴシック"/>
        <family val="3"/>
        <charset val="128"/>
      </rPr>
      <t>に試験食器の温度差の補正</t>
    </r>
    <r>
      <rPr>
        <sz val="10"/>
        <rFont val="Century"/>
        <family val="1"/>
      </rPr>
      <t>Δ</t>
    </r>
    <r>
      <rPr>
        <i/>
        <sz val="10"/>
        <rFont val="Century"/>
        <family val="1"/>
      </rPr>
      <t>Q</t>
    </r>
    <r>
      <rPr>
        <vertAlign val="subscript"/>
        <sz val="10"/>
        <rFont val="Century"/>
        <family val="1"/>
      </rPr>
      <t xml:space="preserve">c </t>
    </r>
    <r>
      <rPr>
        <sz val="10"/>
        <rFont val="Century"/>
        <family val="1"/>
      </rPr>
      <t>[kWh/h]</t>
    </r>
    <r>
      <rPr>
        <sz val="10"/>
        <rFont val="ＭＳ Ｐゴシック"/>
        <family val="3"/>
        <charset val="128"/>
      </rPr>
      <t>を加えて、計算される。</t>
    </r>
    <rPh sb="53" eb="55">
      <t>オンド</t>
    </rPh>
    <rPh sb="55" eb="56">
      <t>サ</t>
    </rPh>
    <rPh sb="57" eb="59">
      <t>ホセイ</t>
    </rPh>
    <rPh sb="59" eb="60">
      <t>リキリョウ</t>
    </rPh>
    <phoneticPr fontId="3"/>
  </si>
  <si>
    <r>
      <rPr>
        <i/>
        <sz val="10"/>
        <rFont val="Century"/>
        <family val="1"/>
      </rPr>
      <t>h</t>
    </r>
    <r>
      <rPr>
        <vertAlign val="subscript"/>
        <sz val="10"/>
        <rFont val="Century"/>
        <family val="1"/>
      </rPr>
      <t xml:space="preserve">c </t>
    </r>
    <r>
      <rPr>
        <sz val="10"/>
        <rFont val="ＭＳ Ｐゴシック"/>
        <family val="3"/>
        <charset val="128"/>
      </rPr>
      <t>： 処理時間[</t>
    </r>
    <r>
      <rPr>
        <sz val="10"/>
        <rFont val="Century"/>
        <family val="1"/>
      </rPr>
      <t>h</t>
    </r>
    <r>
      <rPr>
        <sz val="10"/>
        <rFont val="ＭＳ Ｐゴシック"/>
        <family val="3"/>
        <charset val="128"/>
      </rPr>
      <t>/日]　標準値は</t>
    </r>
    <r>
      <rPr>
        <sz val="10"/>
        <rFont val="Century"/>
        <family val="1"/>
      </rPr>
      <t>1</t>
    </r>
    <r>
      <rPr>
        <sz val="10"/>
        <rFont val="ＭＳ Ｐゴシック"/>
        <family val="3"/>
        <charset val="128"/>
      </rPr>
      <t>h/日</t>
    </r>
    <rPh sb="12" eb="13">
      <t>ヒ</t>
    </rPh>
    <rPh sb="15" eb="18">
      <t>ヒョウジュンチ</t>
    </rPh>
    <rPh sb="22" eb="23">
      <t>ヒ</t>
    </rPh>
    <phoneticPr fontId="3"/>
  </si>
  <si>
    <r>
      <rPr>
        <i/>
        <sz val="10"/>
        <rFont val="Century"/>
        <family val="1"/>
      </rPr>
      <t>h</t>
    </r>
    <r>
      <rPr>
        <vertAlign val="subscript"/>
        <sz val="10"/>
        <rFont val="Century"/>
        <family val="1"/>
      </rPr>
      <t xml:space="preserve">i </t>
    </r>
    <r>
      <rPr>
        <sz val="10"/>
        <rFont val="ＭＳ Ｐゴシック"/>
        <family val="3"/>
        <charset val="128"/>
      </rPr>
      <t>： 待機時間</t>
    </r>
    <r>
      <rPr>
        <sz val="10"/>
        <rFont val="Century"/>
        <family val="1"/>
      </rPr>
      <t>[h</t>
    </r>
    <r>
      <rPr>
        <sz val="10"/>
        <rFont val="ＭＳ Ｐゴシック"/>
        <family val="3"/>
        <charset val="128"/>
      </rPr>
      <t>/日]　標準値は</t>
    </r>
    <r>
      <rPr>
        <sz val="10"/>
        <rFont val="Century"/>
        <family val="1"/>
      </rPr>
      <t>0.5</t>
    </r>
    <r>
      <rPr>
        <sz val="10"/>
        <rFont val="ＭＳ Ｐゴシック"/>
        <family val="3"/>
        <charset val="128"/>
      </rPr>
      <t>h/日</t>
    </r>
    <rPh sb="12" eb="13">
      <t>ヒ</t>
    </rPh>
    <rPh sb="15" eb="18">
      <t>ヒョウジュンチ</t>
    </rPh>
    <rPh sb="24" eb="25">
      <t>ヒ</t>
    </rPh>
    <phoneticPr fontId="3"/>
  </si>
  <si>
    <r>
      <rPr>
        <i/>
        <sz val="10"/>
        <rFont val="Cambria"/>
        <family val="1"/>
      </rPr>
      <t>r</t>
    </r>
    <r>
      <rPr>
        <vertAlign val="subscript"/>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処理負荷率</t>
    </r>
    <r>
      <rPr>
        <sz val="10"/>
        <rFont val="Century"/>
        <family val="1"/>
      </rPr>
      <t xml:space="preserve"> </t>
    </r>
    <r>
      <rPr>
        <sz val="10"/>
        <rFont val="ＭＳ Ｐゴシック"/>
        <family val="3"/>
        <charset val="128"/>
      </rPr>
      <t>標準値は</t>
    </r>
    <r>
      <rPr>
        <sz val="10"/>
        <rFont val="Century"/>
        <family val="1"/>
      </rPr>
      <t>0.8</t>
    </r>
    <rPh sb="5" eb="7">
      <t>ショリ</t>
    </rPh>
    <phoneticPr fontId="3"/>
  </si>
  <si>
    <r>
      <rPr>
        <i/>
        <sz val="10"/>
        <rFont val="Century"/>
        <family val="1"/>
      </rPr>
      <t>W</t>
    </r>
    <r>
      <rPr>
        <vertAlign val="subscript"/>
        <sz val="10"/>
        <rFont val="Century"/>
        <family val="1"/>
      </rPr>
      <t xml:space="preserve">s </t>
    </r>
    <r>
      <rPr>
        <sz val="10"/>
        <rFont val="ＭＳ Ｐゴシック"/>
        <family val="3"/>
        <charset val="128"/>
      </rPr>
      <t>: 立上り時給水量または立上り時給湯量[ℓ/回]</t>
    </r>
    <phoneticPr fontId="3"/>
  </si>
  <si>
    <r>
      <rPr>
        <i/>
        <sz val="10"/>
        <rFont val="Cambria"/>
        <family val="1"/>
      </rPr>
      <t>n</t>
    </r>
    <r>
      <rPr>
        <vertAlign val="subscript"/>
        <sz val="10"/>
        <rFont val="Century"/>
        <family val="1"/>
      </rPr>
      <t xml:space="preserve">s </t>
    </r>
    <r>
      <rPr>
        <sz val="10"/>
        <rFont val="ＭＳ Ｐゴシック"/>
        <family val="3"/>
        <charset val="128"/>
      </rPr>
      <t>: 立上り回数[回/日] 　標準値は</t>
    </r>
    <r>
      <rPr>
        <sz val="10"/>
        <rFont val="Century"/>
        <family val="1"/>
      </rPr>
      <t>1</t>
    </r>
    <r>
      <rPr>
        <sz val="10"/>
        <rFont val="ＭＳ Ｐゴシック"/>
        <family val="3"/>
        <charset val="128"/>
      </rPr>
      <t xml:space="preserve"> 回/日</t>
    </r>
    <phoneticPr fontId="3"/>
  </si>
  <si>
    <r>
      <rPr>
        <i/>
        <sz val="10"/>
        <rFont val="Century"/>
        <family val="1"/>
      </rPr>
      <t>h</t>
    </r>
    <r>
      <rPr>
        <vertAlign val="subscript"/>
        <sz val="10"/>
        <rFont val="Century"/>
        <family val="1"/>
      </rPr>
      <t xml:space="preserve">c </t>
    </r>
    <r>
      <rPr>
        <sz val="10"/>
        <rFont val="ＭＳ Ｐゴシック"/>
        <family val="3"/>
        <charset val="128"/>
      </rPr>
      <t>: 処理時間[h/日] 　標準値は</t>
    </r>
    <r>
      <rPr>
        <sz val="10"/>
        <rFont val="Century"/>
        <family val="1"/>
      </rPr>
      <t>1</t>
    </r>
    <r>
      <rPr>
        <sz val="10"/>
        <rFont val="ＭＳ Ｐゴシック"/>
        <family val="3"/>
        <charset val="128"/>
      </rPr>
      <t>h/日</t>
    </r>
    <phoneticPr fontId="3"/>
  </si>
  <si>
    <t>選択してください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</si>
</sst>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00_ "/>
    <numFmt numFmtId="177" formatCode="0.000_);[Red]\(0.000\)"/>
    <numFmt numFmtId="178" formatCode="0.000_ "/>
    <numFmt numFmtId="179" formatCode="0.0_ "/>
    <numFmt numFmtId="180" formatCode="0_ "/>
    <numFmt numFmtId="181" formatCode="0_);[Red]\(0\)"/>
    <numFmt numFmtId="182" formatCode="#,##0.000_ "/>
    <numFmt numFmtId="183" formatCode="0.0_);[Red]\(0.0\)"/>
    <numFmt numFmtId="184" formatCode="0.00_);[Red]\(0.00\)"/>
    <numFmt numFmtId="185" formatCode="yyyy&quot;年&quot;m&quot;月&quot;d&quot;日&quot;;@"/>
    <numFmt numFmtId="186" formatCode="#,##0.00_ "/>
    <numFmt numFmtId="187" formatCode="#,##0_ "/>
    <numFmt numFmtId="188" formatCode="0.0%"/>
    <numFmt numFmtId="189" formatCode="0.000"/>
    <numFmt numFmtId="190" formatCode="\+#.0;\-#.0;0"/>
    <numFmt numFmtId="191" formatCode="\+#&quot;％、&quot;;\-#&quot;％、&quot;;0"/>
    <numFmt numFmtId="192" formatCode="\+#&quot;％&quot;;\-#&quot;％&quot;;0"/>
    <numFmt numFmtId="193" formatCode="\+#&quot;%､&quot;;\-#&quot;%&quot;;0"/>
    <numFmt numFmtId="194" formatCode="&quot;＝&quot;\+#&quot;％、&quot;;\-#&quot;％、&quot;;0"/>
    <numFmt numFmtId="195" formatCode="#&quot;Hz時&quot;"/>
  </numFmts>
  <fonts count="51">
    <font>
      <sz val="11"/>
      <name val="ＭＳ Ｐゴシック"/>
      <family val="3"/>
      <charset val="128"/>
    </font>
    <font>
      <sz val="10"/>
      <color indexed="8"/>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b/>
      <sz val="14"/>
      <name val="ＭＳ Ｐゴシック"/>
      <family val="3"/>
      <charset val="128"/>
    </font>
    <font>
      <sz val="10"/>
      <color indexed="8"/>
      <name val="ＭＳ Ｐゴシック"/>
      <family val="3"/>
      <charset val="128"/>
    </font>
    <font>
      <sz val="8"/>
      <name val="ＭＳ Ｐゴシック"/>
      <family val="3"/>
      <charset val="128"/>
    </font>
    <font>
      <sz val="9"/>
      <name val="ＭＳ Ｐゴシック"/>
      <family val="3"/>
      <charset val="128"/>
    </font>
    <font>
      <b/>
      <sz val="11"/>
      <color indexed="9"/>
      <name val="ＭＳ Ｐゴシック"/>
      <family val="3"/>
      <charset val="128"/>
    </font>
    <font>
      <b/>
      <sz val="12"/>
      <name val="ＭＳ Ｐゴシック"/>
      <family val="3"/>
      <charset val="128"/>
    </font>
    <font>
      <i/>
      <sz val="14"/>
      <name val="Century"/>
      <family val="1"/>
    </font>
    <font>
      <i/>
      <sz val="10"/>
      <name val="ＭＳ Ｐゴシック"/>
      <family val="3"/>
      <charset val="128"/>
    </font>
    <font>
      <i/>
      <vertAlign val="subscript"/>
      <sz val="10"/>
      <name val="ＭＳ Ｐゴシック"/>
      <family val="3"/>
      <charset val="128"/>
    </font>
    <font>
      <i/>
      <sz val="10"/>
      <name val="Century"/>
      <family val="1"/>
    </font>
    <font>
      <sz val="10"/>
      <name val="Century"/>
      <family val="1"/>
    </font>
    <font>
      <i/>
      <sz val="10"/>
      <color indexed="8"/>
      <name val="Century"/>
      <family val="1"/>
    </font>
    <font>
      <i/>
      <sz val="14"/>
      <name val="ＭＳ Ｐ明朝"/>
      <family val="1"/>
      <charset val="128"/>
    </font>
    <font>
      <vertAlign val="subscript"/>
      <sz val="14"/>
      <name val="Century"/>
      <family val="1"/>
    </font>
    <font>
      <vertAlign val="subscript"/>
      <sz val="10"/>
      <name val="Century"/>
      <family val="1"/>
    </font>
    <font>
      <sz val="10"/>
      <color indexed="8"/>
      <name val="Century"/>
      <family val="1"/>
    </font>
    <font>
      <vertAlign val="subscript"/>
      <sz val="10"/>
      <color indexed="8"/>
      <name val="Century"/>
      <family val="1"/>
    </font>
    <font>
      <i/>
      <sz val="10"/>
      <name val="Centaur"/>
      <family val="1"/>
    </font>
    <font>
      <sz val="10"/>
      <name val="Centaur"/>
      <family val="1"/>
    </font>
    <font>
      <vertAlign val="subscript"/>
      <sz val="10"/>
      <name val="Centaur"/>
      <family val="1"/>
    </font>
    <font>
      <i/>
      <sz val="10"/>
      <name val="Symbol"/>
      <family val="1"/>
      <charset val="2"/>
    </font>
    <font>
      <i/>
      <sz val="12"/>
      <name val="Century"/>
      <family val="1"/>
    </font>
    <font>
      <vertAlign val="subscript"/>
      <sz val="12"/>
      <name val="Century"/>
      <family val="1"/>
    </font>
    <font>
      <vertAlign val="subscript"/>
      <sz val="14"/>
      <name val="ＭＳ Ｐゴシック"/>
      <family val="3"/>
      <charset val="128"/>
    </font>
    <font>
      <vertAlign val="subscript"/>
      <sz val="10"/>
      <name val="ＭＳ Ｐゴシック"/>
      <family val="3"/>
      <charset val="128"/>
    </font>
    <font>
      <sz val="7"/>
      <name val="ＭＳ Ｐゴシック"/>
      <family val="3"/>
      <charset val="128"/>
    </font>
    <font>
      <vertAlign val="subscript"/>
      <sz val="10"/>
      <color indexed="8"/>
      <name val="ＭＳ Ｐゴシック"/>
      <family val="3"/>
      <charset val="128"/>
    </font>
    <font>
      <b/>
      <sz val="9"/>
      <name val="ＭＳ Ｐゴシック"/>
      <family val="3"/>
      <charset val="128"/>
    </font>
    <font>
      <i/>
      <sz val="10"/>
      <color indexed="8"/>
      <name val="Symbol"/>
      <family val="1"/>
      <charset val="2"/>
    </font>
    <font>
      <sz val="10"/>
      <name val="ＭＳ Ｐ明朝"/>
      <family val="1"/>
      <charset val="128"/>
    </font>
    <font>
      <vertAlign val="subscript"/>
      <sz val="12"/>
      <name val="ＭＳ Ｐ明朝"/>
      <family val="1"/>
      <charset val="128"/>
    </font>
    <font>
      <sz val="7.5"/>
      <name val="ＭＳ Ｐゴシック"/>
      <family val="3"/>
      <charset val="128"/>
    </font>
    <font>
      <i/>
      <sz val="9"/>
      <name val="Century"/>
      <family val="1"/>
    </font>
    <font>
      <vertAlign val="subscript"/>
      <sz val="9"/>
      <name val="Century"/>
      <family val="1"/>
    </font>
    <font>
      <sz val="9"/>
      <name val="Century"/>
      <family val="1"/>
    </font>
    <font>
      <sz val="10"/>
      <color rgb="FFFF0000"/>
      <name val="ＭＳ Ｐゴシック"/>
      <family val="3"/>
      <charset val="128"/>
    </font>
    <font>
      <sz val="10"/>
      <name val="ＭＳ Ｐゴシック"/>
      <family val="3"/>
      <charset val="128"/>
      <scheme val="minor"/>
    </font>
    <font>
      <sz val="10"/>
      <color theme="0"/>
      <name val="ＭＳ Ｐゴシック"/>
      <family val="3"/>
      <charset val="128"/>
    </font>
    <font>
      <i/>
      <sz val="10"/>
      <name val="Cambria"/>
      <family val="1"/>
    </font>
    <font>
      <i/>
      <sz val="12"/>
      <name val="Cambria Math"/>
      <family val="1"/>
    </font>
    <font>
      <i/>
      <sz val="14"/>
      <name val="Cambria"/>
      <family val="1"/>
    </font>
    <font>
      <sz val="11"/>
      <name val="Century"/>
      <family val="1"/>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rgb="FF16365C"/>
        <bgColor indexed="64"/>
      </patternFill>
    </fill>
    <fill>
      <patternFill patternType="solid">
        <fgColor rgb="FFD9D9D9"/>
        <bgColor indexed="64"/>
      </patternFill>
    </fill>
  </fills>
  <borders count="76">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thick">
        <color indexed="64"/>
      </bottom>
      <diagonal/>
    </border>
    <border>
      <left/>
      <right style="medium">
        <color indexed="64"/>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79">
    <xf numFmtId="0" fontId="0" fillId="0" borderId="0" xfId="0">
      <alignment vertical="center"/>
    </xf>
    <xf numFmtId="0" fontId="10" fillId="0" borderId="0" xfId="0" applyFont="1" applyFill="1" applyBorder="1" applyAlignment="1" applyProtection="1">
      <alignment vertical="center"/>
    </xf>
    <xf numFmtId="181" fontId="10" fillId="0" borderId="11" xfId="0" applyNumberFormat="1" applyFont="1" applyFill="1" applyBorder="1" applyAlignment="1" applyProtection="1">
      <alignment horizontal="right" vertical="center"/>
    </xf>
    <xf numFmtId="176" fontId="10" fillId="0" borderId="10" xfId="0" applyNumberFormat="1" applyFont="1" applyFill="1" applyBorder="1" applyAlignment="1" applyProtection="1">
      <alignment horizontal="right" vertical="center"/>
    </xf>
    <xf numFmtId="0" fontId="0" fillId="0" borderId="0" xfId="0" applyProtection="1">
      <alignment vertical="center"/>
    </xf>
    <xf numFmtId="0" fontId="5" fillId="0" borderId="0" xfId="0" applyFont="1" applyProtection="1">
      <alignment vertical="center"/>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7" xfId="0" applyFont="1" applyBorder="1" applyProtection="1">
      <alignment vertical="center"/>
    </xf>
    <xf numFmtId="0" fontId="5" fillId="0" borderId="0" xfId="0" applyFont="1" applyBorder="1" applyProtection="1">
      <alignment vertical="center"/>
    </xf>
    <xf numFmtId="0" fontId="5" fillId="0" borderId="1" xfId="0" applyFont="1" applyBorder="1" applyProtection="1">
      <alignment vertical="center"/>
    </xf>
    <xf numFmtId="0" fontId="5" fillId="0" borderId="0" xfId="0" applyFont="1" applyBorder="1" applyAlignment="1" applyProtection="1">
      <alignment horizontal="center" vertical="center"/>
    </xf>
    <xf numFmtId="0" fontId="0" fillId="0" borderId="0" xfId="0" applyBorder="1" applyAlignment="1" applyProtection="1">
      <alignment vertical="center"/>
    </xf>
    <xf numFmtId="0" fontId="18" fillId="0" borderId="0" xfId="0" applyFont="1" applyBorder="1" applyAlignment="1" applyProtection="1">
      <alignment horizontal="right" vertical="center"/>
    </xf>
    <xf numFmtId="0" fontId="5" fillId="0" borderId="0" xfId="0" applyFont="1" applyBorder="1" applyAlignment="1" applyProtection="1">
      <alignment vertical="center" shrinkToFit="1"/>
    </xf>
    <xf numFmtId="0" fontId="0" fillId="0" borderId="0" xfId="0" applyBorder="1" applyAlignment="1" applyProtection="1">
      <alignment vertical="center" shrinkToFit="1"/>
    </xf>
    <xf numFmtId="0" fontId="5" fillId="0" borderId="7" xfId="0" applyFont="1" applyBorder="1" applyAlignment="1" applyProtection="1">
      <alignment vertical="top"/>
    </xf>
    <xf numFmtId="0" fontId="5" fillId="0" borderId="7" xfId="0" applyFont="1" applyBorder="1" applyAlignment="1" applyProtection="1">
      <alignment horizontal="left" vertical="center"/>
    </xf>
    <xf numFmtId="181" fontId="5" fillId="0" borderId="10" xfId="0" applyNumberFormat="1" applyFont="1" applyFill="1" applyBorder="1" applyAlignment="1" applyProtection="1">
      <alignment horizontal="right" vertical="center"/>
    </xf>
    <xf numFmtId="0" fontId="5" fillId="0" borderId="0" xfId="0" applyFont="1" applyBorder="1" applyAlignment="1" applyProtection="1">
      <alignment vertical="center"/>
    </xf>
    <xf numFmtId="0" fontId="5" fillId="0" borderId="0" xfId="0" applyFont="1" applyFill="1" applyBorder="1" applyAlignment="1" applyProtection="1">
      <alignment horizontal="right" vertical="center"/>
    </xf>
    <xf numFmtId="0" fontId="18" fillId="0" borderId="0" xfId="0" applyFont="1" applyBorder="1" applyAlignment="1" applyProtection="1">
      <alignment vertical="center"/>
    </xf>
    <xf numFmtId="184" fontId="5" fillId="0" borderId="9" xfId="0" applyNumberFormat="1" applyFont="1" applyFill="1" applyBorder="1" applyAlignment="1" applyProtection="1">
      <alignment horizontal="center" vertical="center"/>
    </xf>
    <xf numFmtId="0" fontId="12" fillId="0" borderId="0" xfId="0" applyFont="1" applyBorder="1" applyAlignment="1" applyProtection="1">
      <alignment vertical="center"/>
    </xf>
    <xf numFmtId="184" fontId="5" fillId="0" borderId="0" xfId="0" applyNumberFormat="1" applyFont="1" applyFill="1" applyBorder="1" applyAlignment="1" applyProtection="1">
      <alignment horizontal="center" vertical="center"/>
    </xf>
    <xf numFmtId="178" fontId="11" fillId="0" borderId="0" xfId="0" applyNumberFormat="1" applyFont="1" applyBorder="1" applyAlignment="1" applyProtection="1">
      <alignment vertical="center" shrinkToFit="1"/>
    </xf>
    <xf numFmtId="0" fontId="12" fillId="0" borderId="1" xfId="0" applyFont="1" applyBorder="1" applyAlignment="1" applyProtection="1">
      <alignment vertical="center" shrinkToFit="1"/>
    </xf>
    <xf numFmtId="0" fontId="4" fillId="0" borderId="0" xfId="0" applyFont="1" applyFill="1" applyBorder="1" applyAlignment="1" applyProtection="1">
      <alignment vertical="center"/>
    </xf>
    <xf numFmtId="0" fontId="12" fillId="0" borderId="0" xfId="0" applyFont="1" applyBorder="1" applyProtection="1">
      <alignment vertical="center"/>
    </xf>
    <xf numFmtId="0" fontId="7" fillId="0" borderId="0" xfId="0" applyFont="1" applyBorder="1" applyProtection="1">
      <alignment vertical="center"/>
    </xf>
    <xf numFmtId="184" fontId="14" fillId="0" borderId="9" xfId="0" applyNumberFormat="1" applyFont="1" applyFill="1" applyBorder="1" applyAlignment="1" applyProtection="1">
      <alignment horizontal="center" vertical="center"/>
    </xf>
    <xf numFmtId="176" fontId="19" fillId="0" borderId="0" xfId="0" applyNumberFormat="1" applyFont="1" applyBorder="1" applyAlignment="1" applyProtection="1">
      <alignment horizontal="right" vertical="center"/>
    </xf>
    <xf numFmtId="0" fontId="12" fillId="0" borderId="13" xfId="0" applyFont="1" applyBorder="1" applyAlignment="1" applyProtection="1">
      <alignment vertical="center" shrinkToFit="1"/>
    </xf>
    <xf numFmtId="0" fontId="12" fillId="0" borderId="0" xfId="0" applyFont="1" applyBorder="1" applyAlignment="1" applyProtection="1">
      <alignment vertical="center" wrapText="1"/>
    </xf>
    <xf numFmtId="0" fontId="0" fillId="0" borderId="0" xfId="0" applyBorder="1" applyProtection="1">
      <alignment vertical="center"/>
    </xf>
    <xf numFmtId="0" fontId="5" fillId="0" borderId="0" xfId="0" applyFont="1" applyBorder="1" applyAlignment="1" applyProtection="1">
      <alignment horizontal="right" vertical="center"/>
    </xf>
    <xf numFmtId="0" fontId="5" fillId="0" borderId="8" xfId="0" applyFont="1" applyBorder="1" applyProtection="1">
      <alignment vertical="center"/>
    </xf>
    <xf numFmtId="0" fontId="0" fillId="0" borderId="2" xfId="0" applyBorder="1" applyAlignment="1" applyProtection="1">
      <alignment vertical="center"/>
    </xf>
    <xf numFmtId="0" fontId="0" fillId="0" borderId="2" xfId="0" applyBorder="1" applyProtection="1">
      <alignment vertical="center"/>
    </xf>
    <xf numFmtId="0" fontId="5" fillId="0" borderId="2" xfId="0" applyFont="1" applyBorder="1" applyAlignment="1" applyProtection="1">
      <alignment horizontal="right" vertical="center"/>
    </xf>
    <xf numFmtId="0" fontId="5" fillId="0" borderId="2" xfId="0" applyFont="1" applyBorder="1" applyAlignment="1" applyProtection="1">
      <alignment vertical="center"/>
    </xf>
    <xf numFmtId="0" fontId="12" fillId="0" borderId="2" xfId="0" applyFont="1" applyBorder="1" applyProtection="1">
      <alignment vertical="center"/>
    </xf>
    <xf numFmtId="0" fontId="12" fillId="0" borderId="3" xfId="0" applyFont="1" applyBorder="1" applyProtection="1">
      <alignment vertical="center"/>
    </xf>
    <xf numFmtId="0" fontId="5" fillId="0" borderId="7" xfId="0" applyFont="1" applyBorder="1" applyAlignment="1" applyProtection="1">
      <alignment horizontal="center" vertical="center"/>
    </xf>
    <xf numFmtId="0" fontId="7"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4" fillId="0" borderId="1" xfId="0" applyFont="1" applyBorder="1" applyAlignment="1" applyProtection="1">
      <alignment horizontal="center" vertical="center"/>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left" vertical="top"/>
    </xf>
    <xf numFmtId="183" fontId="5" fillId="0" borderId="10" xfId="0" applyNumberFormat="1" applyFont="1" applyFill="1" applyBorder="1" applyAlignment="1" applyProtection="1">
      <alignment horizontal="right" vertical="center"/>
    </xf>
    <xf numFmtId="0" fontId="5" fillId="0" borderId="0" xfId="0" applyFont="1" applyBorder="1" applyAlignment="1" applyProtection="1">
      <alignment vertical="top"/>
    </xf>
    <xf numFmtId="0" fontId="5" fillId="0" borderId="0" xfId="0" applyFont="1" applyFill="1" applyBorder="1" applyAlignment="1" applyProtection="1">
      <alignment horizontal="center" vertical="center"/>
    </xf>
    <xf numFmtId="0" fontId="30" fillId="0" borderId="0" xfId="0" applyFont="1" applyBorder="1" applyAlignment="1" applyProtection="1">
      <alignment horizontal="right" vertical="center"/>
    </xf>
    <xf numFmtId="177" fontId="14" fillId="0" borderId="9" xfId="0" applyNumberFormat="1" applyFont="1" applyBorder="1" applyAlignment="1" applyProtection="1">
      <alignment horizontal="center" vertical="center"/>
    </xf>
    <xf numFmtId="181" fontId="5" fillId="0" borderId="14" xfId="0" applyNumberFormat="1" applyFont="1" applyFill="1" applyBorder="1" applyAlignment="1" applyProtection="1">
      <alignment vertical="center"/>
    </xf>
    <xf numFmtId="181" fontId="5" fillId="0" borderId="0" xfId="0" applyNumberFormat="1" applyFont="1" applyFill="1" applyBorder="1" applyAlignment="1" applyProtection="1">
      <alignment vertical="center"/>
    </xf>
    <xf numFmtId="177" fontId="5" fillId="0" borderId="9" xfId="0" applyNumberFormat="1" applyFont="1" applyBorder="1" applyAlignment="1" applyProtection="1">
      <alignment horizontal="right" vertical="center"/>
    </xf>
    <xf numFmtId="0" fontId="5" fillId="0" borderId="0" xfId="0" applyFont="1" applyBorder="1" applyAlignment="1" applyProtection="1">
      <alignment horizontal="left" vertical="center" shrinkToFit="1"/>
    </xf>
    <xf numFmtId="177" fontId="14" fillId="0" borderId="9" xfId="0" applyNumberFormat="1" applyFont="1" applyFill="1" applyBorder="1" applyAlignment="1" applyProtection="1">
      <alignment horizontal="center" vertical="center"/>
    </xf>
    <xf numFmtId="188" fontId="5" fillId="0" borderId="9" xfId="0" applyNumberFormat="1" applyFont="1" applyBorder="1" applyProtection="1">
      <alignment vertical="center"/>
    </xf>
    <xf numFmtId="181" fontId="18" fillId="0" borderId="0" xfId="0" applyNumberFormat="1" applyFont="1" applyBorder="1" applyAlignment="1" applyProtection="1">
      <alignment horizontal="right" vertical="center"/>
    </xf>
    <xf numFmtId="181" fontId="5" fillId="0" borderId="10" xfId="0" applyNumberFormat="1" applyFont="1" applyBorder="1" applyAlignment="1" applyProtection="1">
      <alignment horizontal="right" vertical="center"/>
    </xf>
    <xf numFmtId="0" fontId="5" fillId="0" borderId="2" xfId="0" applyFont="1" applyBorder="1" applyProtection="1">
      <alignment vertical="center"/>
    </xf>
    <xf numFmtId="0" fontId="18" fillId="0" borderId="2" xfId="0" applyFont="1" applyBorder="1" applyAlignment="1" applyProtection="1">
      <alignment horizontal="right" vertical="center"/>
    </xf>
    <xf numFmtId="177" fontId="7" fillId="0" borderId="2" xfId="0" applyNumberFormat="1" applyFont="1" applyBorder="1" applyAlignment="1" applyProtection="1">
      <alignment horizontal="center" vertical="center"/>
    </xf>
    <xf numFmtId="0" fontId="5" fillId="0" borderId="2" xfId="0" applyFont="1" applyBorder="1" applyAlignment="1" applyProtection="1">
      <alignment horizontal="left" vertical="center" shrinkToFit="1"/>
    </xf>
    <xf numFmtId="0" fontId="11" fillId="0" borderId="2" xfId="0" applyFont="1" applyBorder="1" applyAlignment="1" applyProtection="1">
      <alignment vertical="center" shrinkToFit="1"/>
    </xf>
    <xf numFmtId="0" fontId="0" fillId="0" borderId="3" xfId="0" applyBorder="1" applyAlignment="1" applyProtection="1">
      <alignment vertical="center" shrinkToFit="1"/>
    </xf>
    <xf numFmtId="177" fontId="7" fillId="0" borderId="0" xfId="0" applyNumberFormat="1" applyFont="1" applyBorder="1" applyAlignment="1" applyProtection="1">
      <alignment horizontal="center" vertical="center"/>
    </xf>
    <xf numFmtId="0" fontId="5" fillId="0" borderId="0" xfId="0" applyFont="1" applyFill="1" applyProtection="1">
      <alignment vertical="center"/>
    </xf>
    <xf numFmtId="185"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xf>
    <xf numFmtId="0" fontId="0" fillId="0" borderId="0" xfId="0" applyFill="1" applyBorder="1" applyAlignment="1" applyProtection="1">
      <alignment vertical="center"/>
    </xf>
    <xf numFmtId="179" fontId="5"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shrinkToFit="1"/>
    </xf>
    <xf numFmtId="180" fontId="5" fillId="0" borderId="1" xfId="0" applyNumberFormat="1" applyFont="1" applyFill="1" applyBorder="1" applyAlignment="1" applyProtection="1">
      <alignment horizontal="center" vertical="center" shrinkToFit="1"/>
    </xf>
    <xf numFmtId="0" fontId="5" fillId="0" borderId="0" xfId="0" applyFont="1" applyFill="1" applyBorder="1" applyProtection="1">
      <alignment vertical="center"/>
    </xf>
    <xf numFmtId="0" fontId="18" fillId="0" borderId="0" xfId="0" applyFont="1" applyFill="1" applyBorder="1" applyAlignment="1" applyProtection="1">
      <alignment horizontal="right" vertical="center"/>
    </xf>
    <xf numFmtId="181"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184" fontId="5" fillId="0" borderId="0" xfId="0" applyNumberFormat="1" applyFont="1" applyFill="1" applyBorder="1" applyAlignment="1" applyProtection="1">
      <alignment vertical="center"/>
    </xf>
    <xf numFmtId="178" fontId="5" fillId="0" borderId="9" xfId="0" applyNumberFormat="1" applyFont="1" applyBorder="1" applyAlignment="1" applyProtection="1">
      <alignment horizontal="right" vertical="center"/>
    </xf>
    <xf numFmtId="0" fontId="5" fillId="0" borderId="0" xfId="0" applyFont="1" applyAlignment="1" applyProtection="1">
      <alignment horizontal="right" vertical="center"/>
    </xf>
    <xf numFmtId="0" fontId="5" fillId="0" borderId="1" xfId="0" applyFont="1" applyBorder="1" applyAlignment="1" applyProtection="1">
      <alignment vertical="center" shrinkToFit="1"/>
    </xf>
    <xf numFmtId="0" fontId="44" fillId="0" borderId="0" xfId="0" applyFont="1" applyBorder="1" applyProtection="1">
      <alignment vertical="center"/>
    </xf>
    <xf numFmtId="0" fontId="19" fillId="0" borderId="0" xfId="0" applyFont="1" applyBorder="1" applyAlignment="1" applyProtection="1">
      <alignment horizontal="right" vertical="center"/>
    </xf>
    <xf numFmtId="179" fontId="14" fillId="0" borderId="9" xfId="0" applyNumberFormat="1" applyFont="1" applyBorder="1" applyAlignment="1" applyProtection="1">
      <alignment horizontal="center" vertical="center"/>
    </xf>
    <xf numFmtId="0" fontId="11" fillId="0" borderId="0" xfId="0" applyFont="1" applyBorder="1" applyProtection="1">
      <alignment vertical="center"/>
    </xf>
    <xf numFmtId="0" fontId="5" fillId="0" borderId="2" xfId="0" applyFont="1" applyBorder="1" applyAlignment="1" applyProtection="1">
      <alignment vertical="top" wrapText="1"/>
    </xf>
    <xf numFmtId="0" fontId="5" fillId="0" borderId="3" xfId="0" applyFont="1" applyBorder="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17" xfId="0" applyFont="1" applyBorder="1" applyAlignment="1" applyProtection="1">
      <alignment horizontal="center" vertical="center"/>
    </xf>
    <xf numFmtId="180" fontId="18" fillId="0" borderId="0" xfId="0" applyNumberFormat="1" applyFont="1" applyBorder="1" applyAlignment="1" applyProtection="1">
      <alignment horizontal="right" vertical="center"/>
    </xf>
    <xf numFmtId="180" fontId="14" fillId="0" borderId="9" xfId="0" applyNumberFormat="1" applyFont="1" applyBorder="1" applyAlignment="1" applyProtection="1">
      <alignment horizontal="center" vertical="center"/>
    </xf>
    <xf numFmtId="180" fontId="14" fillId="0" borderId="0" xfId="0" applyNumberFormat="1" applyFont="1" applyBorder="1" applyAlignment="1" applyProtection="1">
      <alignment horizontal="center" vertical="center"/>
    </xf>
    <xf numFmtId="179" fontId="8" fillId="0" borderId="0" xfId="0" applyNumberFormat="1" applyFont="1" applyBorder="1" applyProtection="1">
      <alignment vertical="center"/>
    </xf>
    <xf numFmtId="182" fontId="5" fillId="0" borderId="0" xfId="0" applyNumberFormat="1" applyFont="1" applyBorder="1" applyAlignment="1" applyProtection="1">
      <alignment horizontal="center" vertical="center"/>
    </xf>
    <xf numFmtId="180" fontId="5" fillId="0" borderId="10" xfId="0" applyNumberFormat="1" applyFont="1" applyBorder="1" applyAlignment="1" applyProtection="1">
      <alignment horizontal="right" vertical="center"/>
    </xf>
    <xf numFmtId="0" fontId="19" fillId="0" borderId="0" xfId="0" applyFont="1" applyBorder="1" applyProtection="1">
      <alignment vertical="center"/>
    </xf>
    <xf numFmtId="0" fontId="8" fillId="0" borderId="2" xfId="0" applyFont="1" applyBorder="1" applyProtection="1">
      <alignment vertical="center"/>
    </xf>
    <xf numFmtId="0" fontId="5" fillId="0" borderId="0" xfId="0" applyFont="1" applyBorder="1" applyAlignment="1" applyProtection="1">
      <alignment vertical="center" wrapText="1"/>
    </xf>
    <xf numFmtId="0" fontId="1" fillId="0" borderId="0" xfId="0" applyFont="1" applyFill="1" applyBorder="1" applyAlignment="1" applyProtection="1">
      <alignment vertical="center"/>
    </xf>
    <xf numFmtId="0" fontId="0" fillId="0" borderId="7" xfId="0" applyFont="1" applyBorder="1" applyProtection="1">
      <alignment vertical="center"/>
    </xf>
    <xf numFmtId="0" fontId="0" fillId="0" borderId="7" xfId="0" applyFont="1" applyBorder="1" applyAlignment="1" applyProtection="1">
      <alignment vertical="center"/>
    </xf>
    <xf numFmtId="184" fontId="14" fillId="0" borderId="0" xfId="0" applyNumberFormat="1" applyFont="1" applyFill="1" applyBorder="1" applyAlignment="1" applyProtection="1">
      <alignment horizontal="center" vertical="center"/>
    </xf>
    <xf numFmtId="184" fontId="45" fillId="0" borderId="10" xfId="0" applyNumberFormat="1" applyFont="1" applyBorder="1" applyAlignment="1" applyProtection="1">
      <alignment horizontal="right" vertical="center"/>
    </xf>
    <xf numFmtId="0" fontId="0" fillId="0" borderId="0" xfId="0" applyFont="1" applyBorder="1" applyAlignment="1" applyProtection="1">
      <alignment vertical="center"/>
    </xf>
    <xf numFmtId="184" fontId="10" fillId="0" borderId="11" xfId="0" applyNumberFormat="1" applyFont="1" applyFill="1" applyBorder="1" applyAlignment="1" applyProtection="1">
      <alignment horizontal="right" vertical="center"/>
    </xf>
    <xf numFmtId="0" fontId="44" fillId="0" borderId="7" xfId="0" applyFont="1" applyBorder="1" applyProtection="1">
      <alignment vertical="center"/>
    </xf>
    <xf numFmtId="181" fontId="5" fillId="0" borderId="18" xfId="0" applyNumberFormat="1" applyFont="1" applyBorder="1" applyAlignment="1" applyProtection="1">
      <alignment horizontal="right" vertical="center"/>
    </xf>
    <xf numFmtId="188" fontId="5" fillId="0" borderId="2" xfId="0" applyNumberFormat="1" applyFont="1" applyBorder="1" applyAlignment="1" applyProtection="1">
      <alignment vertical="center"/>
    </xf>
    <xf numFmtId="177" fontId="14" fillId="0" borderId="0" xfId="0" applyNumberFormat="1" applyFont="1" applyBorder="1" applyAlignment="1" applyProtection="1">
      <alignment horizontal="center" vertical="center"/>
    </xf>
    <xf numFmtId="189" fontId="45" fillId="0" borderId="9" xfId="0" applyNumberFormat="1" applyFont="1" applyBorder="1" applyAlignment="1" applyProtection="1">
      <alignment horizontal="right" vertical="center"/>
    </xf>
    <xf numFmtId="183" fontId="10" fillId="0" borderId="19" xfId="0" applyNumberFormat="1" applyFont="1" applyFill="1" applyBorder="1" applyAlignment="1" applyProtection="1">
      <alignment horizontal="right" vertical="center"/>
    </xf>
    <xf numFmtId="181" fontId="5" fillId="0" borderId="0" xfId="0" applyNumberFormat="1" applyFont="1" applyBorder="1" applyAlignment="1" applyProtection="1">
      <alignment horizontal="right" vertical="center"/>
    </xf>
    <xf numFmtId="0" fontId="1" fillId="0" borderId="0" xfId="0" applyFont="1" applyFill="1" applyBorder="1" applyAlignment="1" applyProtection="1">
      <alignment vertical="top"/>
    </xf>
    <xf numFmtId="0" fontId="5" fillId="0" borderId="21" xfId="0" applyFont="1" applyBorder="1" applyAlignment="1" applyProtection="1">
      <alignment horizontal="center" vertical="center" shrinkToFit="1"/>
    </xf>
    <xf numFmtId="0" fontId="5" fillId="0" borderId="1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10" xfId="0" applyFont="1" applyBorder="1" applyAlignment="1" applyProtection="1">
      <alignment horizontal="center" vertical="center" shrinkToFit="1"/>
    </xf>
    <xf numFmtId="0" fontId="5" fillId="0" borderId="25" xfId="0" applyFont="1" applyBorder="1" applyProtection="1">
      <alignment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11" fillId="0" borderId="10" xfId="0" applyFont="1" applyBorder="1" applyAlignment="1" applyProtection="1">
      <alignment horizontal="center" vertical="center" wrapText="1"/>
    </xf>
    <xf numFmtId="0" fontId="5" fillId="0" borderId="28"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186" fontId="7" fillId="0" borderId="13" xfId="0" applyNumberFormat="1" applyFont="1" applyBorder="1" applyAlignment="1" applyProtection="1">
      <alignment horizontal="center" vertical="center"/>
    </xf>
    <xf numFmtId="0" fontId="12" fillId="4" borderId="13" xfId="0" applyFont="1" applyFill="1" applyBorder="1" applyAlignment="1" applyProtection="1">
      <alignment vertical="center"/>
    </xf>
    <xf numFmtId="0" fontId="12" fillId="4" borderId="31" xfId="0" applyFont="1" applyFill="1" applyBorder="1" applyAlignment="1" applyProtection="1">
      <alignment vertical="center"/>
    </xf>
    <xf numFmtId="0" fontId="0" fillId="0" borderId="0" xfId="0" applyAlignment="1" applyProtection="1">
      <alignment vertical="center"/>
    </xf>
    <xf numFmtId="0" fontId="21" fillId="0" borderId="23" xfId="0" applyFont="1" applyFill="1" applyBorder="1" applyAlignment="1" applyProtection="1">
      <alignment horizontal="center" vertical="center"/>
    </xf>
    <xf numFmtId="180" fontId="7" fillId="0" borderId="32" xfId="0" applyNumberFormat="1" applyFont="1" applyBorder="1" applyAlignment="1" applyProtection="1">
      <alignment horizontal="center" vertical="center"/>
    </xf>
    <xf numFmtId="0" fontId="12" fillId="4" borderId="27" xfId="0" applyFont="1" applyFill="1" applyBorder="1" applyAlignment="1" applyProtection="1">
      <alignment vertical="center" shrinkToFit="1"/>
    </xf>
    <xf numFmtId="0" fontId="15" fillId="0" borderId="23" xfId="0" applyFont="1" applyBorder="1" applyAlignment="1" applyProtection="1">
      <alignment horizontal="center" vertical="center"/>
    </xf>
    <xf numFmtId="0" fontId="0" fillId="4" borderId="32" xfId="0" applyFill="1" applyBorder="1" applyAlignment="1" applyProtection="1">
      <alignment vertical="center"/>
    </xf>
    <xf numFmtId="0" fontId="0" fillId="4" borderId="33" xfId="0" applyFill="1" applyBorder="1" applyAlignment="1" applyProtection="1">
      <alignment vertical="center"/>
    </xf>
    <xf numFmtId="0" fontId="0" fillId="4" borderId="26" xfId="0" applyFill="1" applyBorder="1" applyAlignment="1" applyProtection="1">
      <alignment vertical="center"/>
    </xf>
    <xf numFmtId="0" fontId="0" fillId="4" borderId="27" xfId="0" applyFill="1" applyBorder="1" applyAlignment="1" applyProtection="1">
      <alignment vertical="center"/>
    </xf>
    <xf numFmtId="180" fontId="7" fillId="0" borderId="32" xfId="0" applyNumberFormat="1"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180" fontId="7" fillId="0" borderId="26" xfId="0" applyNumberFormat="1" applyFont="1" applyFill="1" applyBorder="1" applyAlignment="1" applyProtection="1">
      <alignment horizontal="center" vertical="center"/>
    </xf>
    <xf numFmtId="0" fontId="5" fillId="0" borderId="10" xfId="0" applyFont="1" applyFill="1" applyBorder="1" applyAlignment="1" applyProtection="1">
      <alignment horizontal="center" vertical="center" shrinkToFit="1"/>
    </xf>
    <xf numFmtId="0" fontId="0" fillId="0" borderId="0" xfId="0" applyProtection="1">
      <alignment vertical="center"/>
      <protection locked="0"/>
    </xf>
    <xf numFmtId="31" fontId="5" fillId="2" borderId="26" xfId="0" applyNumberFormat="1" applyFont="1" applyFill="1" applyBorder="1" applyAlignment="1" applyProtection="1">
      <alignment horizontal="right" vertical="center"/>
      <protection locked="0"/>
    </xf>
    <xf numFmtId="180" fontId="14" fillId="2" borderId="26" xfId="0" applyNumberFormat="1" applyFont="1" applyFill="1" applyBorder="1" applyAlignment="1" applyProtection="1">
      <alignment horizontal="center" vertical="center"/>
      <protection locked="0"/>
    </xf>
    <xf numFmtId="0" fontId="0" fillId="4" borderId="36" xfId="0" applyFill="1" applyBorder="1" applyAlignment="1" applyProtection="1">
      <alignment vertical="center" wrapText="1"/>
      <protection locked="0"/>
    </xf>
    <xf numFmtId="0" fontId="0" fillId="3" borderId="15" xfId="0" applyFill="1" applyBorder="1" applyAlignment="1" applyProtection="1">
      <alignment vertical="center" wrapText="1"/>
      <protection locked="0"/>
    </xf>
    <xf numFmtId="0" fontId="0" fillId="3" borderId="17" xfId="0" applyFill="1" applyBorder="1" applyAlignment="1" applyProtection="1">
      <alignment vertical="center" wrapText="1"/>
      <protection locked="0"/>
    </xf>
    <xf numFmtId="0" fontId="0" fillId="4" borderId="37" xfId="0" applyFill="1" applyBorder="1" applyAlignment="1" applyProtection="1">
      <alignment horizontal="center" vertical="center" wrapText="1"/>
      <protection locked="0"/>
    </xf>
    <xf numFmtId="0" fontId="0" fillId="3" borderId="0" xfId="0"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4" borderId="38" xfId="0" applyFill="1" applyBorder="1" applyAlignment="1" applyProtection="1">
      <alignment vertical="center" wrapText="1"/>
      <protection locked="0"/>
    </xf>
    <xf numFmtId="0" fontId="0" fillId="3" borderId="39"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3" borderId="40" xfId="0" applyFill="1" applyBorder="1" applyAlignment="1" applyProtection="1">
      <alignment vertical="center"/>
      <protection locked="0"/>
    </xf>
    <xf numFmtId="0" fontId="0" fillId="3" borderId="13" xfId="0" applyFill="1" applyBorder="1" applyAlignment="1" applyProtection="1">
      <alignment vertical="center"/>
      <protection locked="0"/>
    </xf>
    <xf numFmtId="183" fontId="5" fillId="0" borderId="0" xfId="0" applyNumberFormat="1" applyFont="1" applyFill="1" applyBorder="1" applyAlignment="1" applyProtection="1">
      <alignment vertical="center"/>
    </xf>
    <xf numFmtId="180" fontId="14" fillId="4" borderId="28" xfId="0" applyNumberFormat="1" applyFont="1" applyFill="1" applyBorder="1" applyAlignment="1" applyProtection="1">
      <alignment horizontal="center" vertical="center"/>
      <protection locked="0"/>
    </xf>
    <xf numFmtId="180" fontId="14" fillId="4" borderId="27" xfId="0" applyNumberFormat="1" applyFont="1" applyFill="1" applyBorder="1" applyAlignment="1" applyProtection="1">
      <alignment horizontal="center" vertical="center"/>
      <protection locked="0"/>
    </xf>
    <xf numFmtId="180" fontId="14" fillId="0" borderId="25" xfId="0" applyNumberFormat="1" applyFont="1" applyFill="1" applyBorder="1" applyAlignment="1" applyProtection="1">
      <alignment horizontal="center" vertical="center"/>
      <protection locked="0"/>
    </xf>
    <xf numFmtId="180" fontId="14" fillId="0" borderId="41" xfId="0" applyNumberFormat="1" applyFont="1" applyFill="1" applyBorder="1" applyAlignment="1" applyProtection="1">
      <alignment horizontal="center" vertical="center"/>
      <protection locked="0"/>
    </xf>
    <xf numFmtId="0" fontId="0" fillId="0" borderId="0" xfId="0" applyFont="1" applyBorder="1" applyProtection="1">
      <alignment vertical="center"/>
    </xf>
    <xf numFmtId="194" fontId="5" fillId="0" borderId="0" xfId="1" applyNumberFormat="1" applyFont="1" applyBorder="1" applyAlignment="1" applyProtection="1">
      <alignment horizontal="center" vertical="center"/>
    </xf>
    <xf numFmtId="192" fontId="5" fillId="0" borderId="0" xfId="1" applyNumberFormat="1" applyFont="1" applyBorder="1" applyAlignment="1" applyProtection="1">
      <alignment horizontal="left" vertical="center"/>
    </xf>
    <xf numFmtId="38" fontId="5" fillId="0" borderId="0" xfId="2" applyFont="1" applyBorder="1" applyAlignment="1" applyProtection="1">
      <alignment horizontal="right" vertical="center" wrapText="1"/>
    </xf>
    <xf numFmtId="191" fontId="5" fillId="0" borderId="0" xfId="1" applyNumberFormat="1" applyFont="1" applyBorder="1" applyAlignment="1" applyProtection="1">
      <alignment horizontal="right" vertical="center"/>
    </xf>
    <xf numFmtId="38" fontId="5" fillId="0" borderId="0" xfId="2" applyFont="1" applyBorder="1" applyAlignment="1" applyProtection="1">
      <alignment vertical="center" wrapText="1"/>
    </xf>
    <xf numFmtId="0" fontId="0" fillId="0" borderId="0" xfId="0" applyBorder="1" applyAlignment="1" applyProtection="1">
      <alignment horizontal="center" vertical="center"/>
    </xf>
    <xf numFmtId="0" fontId="8" fillId="0" borderId="0" xfId="0" applyFont="1" applyBorder="1" applyProtection="1">
      <alignment vertical="center"/>
    </xf>
    <xf numFmtId="0" fontId="0" fillId="0" borderId="7" xfId="0" applyBorder="1" applyProtection="1">
      <alignment vertical="center"/>
    </xf>
    <xf numFmtId="188" fontId="5" fillId="0" borderId="0" xfId="1" applyNumberFormat="1" applyFont="1" applyBorder="1" applyAlignment="1" applyProtection="1">
      <alignment horizontal="right"/>
    </xf>
    <xf numFmtId="0" fontId="34" fillId="0" borderId="1" xfId="0" applyFont="1" applyBorder="1" applyAlignment="1" applyProtection="1">
      <alignment vertical="center" shrinkToFit="1"/>
    </xf>
    <xf numFmtId="190" fontId="14" fillId="0" borderId="0" xfId="1" applyNumberFormat="1" applyFont="1" applyBorder="1" applyAlignment="1" applyProtection="1">
      <alignment horizontal="center" vertical="center"/>
    </xf>
    <xf numFmtId="38" fontId="12" fillId="0" borderId="7" xfId="2" applyFont="1" applyBorder="1" applyAlignment="1" applyProtection="1">
      <alignment vertical="center" shrinkToFit="1"/>
    </xf>
    <xf numFmtId="190" fontId="5" fillId="0" borderId="9" xfId="1" applyNumberFormat="1" applyFont="1" applyBorder="1"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wrapText="1"/>
      <protection locked="0"/>
    </xf>
    <xf numFmtId="181" fontId="10" fillId="0" borderId="42" xfId="0" applyNumberFormat="1" applyFont="1" applyFill="1" applyBorder="1" applyAlignment="1" applyProtection="1">
      <alignment horizontal="right" vertical="center"/>
    </xf>
    <xf numFmtId="184" fontId="10" fillId="0" borderId="19" xfId="0" applyNumberFormat="1" applyFont="1" applyFill="1" applyBorder="1" applyAlignment="1" applyProtection="1">
      <alignment horizontal="right" vertical="center"/>
    </xf>
    <xf numFmtId="0" fontId="5" fillId="0" borderId="1" xfId="0" applyFont="1" applyBorder="1" applyAlignment="1" applyProtection="1">
      <alignment vertical="top" wrapText="1"/>
    </xf>
    <xf numFmtId="0" fontId="5" fillId="0" borderId="7" xfId="0" applyFont="1" applyBorder="1" applyAlignment="1" applyProtection="1">
      <alignment vertical="top" wrapText="1"/>
    </xf>
    <xf numFmtId="38" fontId="12" fillId="0" borderId="0" xfId="2" applyFont="1" applyBorder="1" applyAlignment="1" applyProtection="1">
      <alignment vertical="center" shrinkToFit="1"/>
    </xf>
    <xf numFmtId="190" fontId="5" fillId="0" borderId="0" xfId="1" applyNumberFormat="1" applyFont="1" applyBorder="1" applyAlignment="1" applyProtection="1">
      <alignment horizontal="center" vertical="center"/>
    </xf>
    <xf numFmtId="0" fontId="12" fillId="4" borderId="32" xfId="0" applyFont="1" applyFill="1" applyBorder="1" applyAlignment="1" applyProtection="1">
      <alignment horizontal="right" vertical="center"/>
    </xf>
    <xf numFmtId="180" fontId="18" fillId="0" borderId="0" xfId="0" applyNumberFormat="1" applyFont="1" applyBorder="1" applyAlignment="1" applyProtection="1">
      <alignment horizontal="justify" vertical="justify"/>
    </xf>
    <xf numFmtId="0" fontId="11" fillId="0" borderId="0" xfId="0" applyFont="1" applyBorder="1" applyAlignment="1" applyProtection="1">
      <alignment horizontal="justify" vertical="justify"/>
    </xf>
    <xf numFmtId="180" fontId="14" fillId="0" borderId="0" xfId="0" applyNumberFormat="1" applyFont="1" applyBorder="1" applyAlignment="1" applyProtection="1">
      <alignment horizontal="justify" vertical="justify"/>
    </xf>
    <xf numFmtId="0" fontId="18" fillId="0" borderId="0" xfId="0" applyFont="1" applyBorder="1" applyAlignment="1" applyProtection="1">
      <alignment horizontal="justify" vertical="justify"/>
    </xf>
    <xf numFmtId="183" fontId="46" fillId="0" borderId="25" xfId="0" applyNumberFormat="1" applyFont="1" applyFill="1" applyBorder="1" applyAlignment="1" applyProtection="1">
      <alignment horizontal="justify" vertical="justify"/>
    </xf>
    <xf numFmtId="0" fontId="14" fillId="0" borderId="0" xfId="0" applyFont="1" applyBorder="1" applyAlignment="1" applyProtection="1">
      <alignment horizontal="justify" vertical="justify"/>
    </xf>
    <xf numFmtId="0" fontId="5" fillId="0" borderId="0" xfId="0" applyFont="1" applyFill="1" applyBorder="1" applyAlignment="1" applyProtection="1">
      <alignment horizontal="justify" vertical="justify"/>
    </xf>
    <xf numFmtId="0" fontId="5" fillId="0" borderId="7" xfId="0" applyFont="1" applyFill="1" applyBorder="1" applyProtection="1">
      <alignment vertical="center"/>
    </xf>
    <xf numFmtId="0" fontId="0" fillId="0" borderId="1" xfId="0" applyFill="1" applyBorder="1" applyAlignment="1" applyProtection="1">
      <alignment vertical="center"/>
    </xf>
    <xf numFmtId="0" fontId="5" fillId="0" borderId="15" xfId="0" applyFont="1" applyFill="1" applyBorder="1" applyAlignment="1" applyProtection="1">
      <alignment horizontal="center" vertical="center"/>
    </xf>
    <xf numFmtId="0" fontId="5" fillId="0" borderId="15" xfId="0" applyFont="1" applyFill="1" applyBorder="1" applyAlignment="1" applyProtection="1">
      <alignment horizontal="center" vertical="center" shrinkToFit="1"/>
    </xf>
    <xf numFmtId="0" fontId="0" fillId="0" borderId="15" xfId="0" applyFill="1" applyBorder="1" applyAlignment="1" applyProtection="1">
      <alignment vertical="center"/>
    </xf>
    <xf numFmtId="0" fontId="11" fillId="0" borderId="15" xfId="0" applyFont="1" applyFill="1" applyBorder="1" applyAlignment="1" applyProtection="1">
      <alignment horizontal="center" vertical="center" shrinkToFit="1"/>
    </xf>
    <xf numFmtId="0" fontId="5" fillId="0" borderId="0" xfId="0" applyFont="1" applyBorder="1" applyAlignment="1" applyProtection="1">
      <alignment vertical="justify"/>
    </xf>
    <xf numFmtId="0" fontId="5" fillId="0" borderId="0" xfId="0" applyFont="1" applyBorder="1" applyAlignment="1" applyProtection="1">
      <alignment horizontal="justify" vertical="center"/>
    </xf>
    <xf numFmtId="0" fontId="11" fillId="0" borderId="0" xfId="0" applyFont="1" applyBorder="1" applyAlignment="1" applyProtection="1">
      <alignment horizontal="justify" vertical="center"/>
    </xf>
    <xf numFmtId="0" fontId="5" fillId="4" borderId="26" xfId="0" applyFont="1" applyFill="1" applyBorder="1" applyAlignment="1" applyProtection="1">
      <alignment horizontal="left" vertical="center"/>
    </xf>
    <xf numFmtId="0" fontId="5" fillId="4" borderId="25" xfId="0" applyFont="1" applyFill="1" applyBorder="1" applyAlignment="1" applyProtection="1">
      <alignment vertical="center"/>
    </xf>
    <xf numFmtId="0" fontId="5" fillId="4" borderId="27" xfId="0" applyFont="1" applyFill="1" applyBorder="1" applyAlignment="1" applyProtection="1">
      <alignment vertical="center"/>
    </xf>
    <xf numFmtId="0" fontId="5" fillId="0" borderId="44" xfId="0" applyFont="1" applyBorder="1" applyAlignment="1" applyProtection="1">
      <alignment horizontal="center" vertical="center"/>
    </xf>
    <xf numFmtId="0" fontId="5" fillId="0" borderId="44" xfId="0" applyFont="1" applyBorder="1" applyAlignment="1" applyProtection="1">
      <alignment horizontal="center" vertical="center" shrinkToFit="1"/>
    </xf>
    <xf numFmtId="179" fontId="5" fillId="0" borderId="15" xfId="0" applyNumberFormat="1" applyFont="1" applyFill="1" applyBorder="1" applyAlignment="1" applyProtection="1">
      <alignment horizontal="center" vertical="center"/>
    </xf>
    <xf numFmtId="180" fontId="5" fillId="0" borderId="17" xfId="0" applyNumberFormat="1" applyFont="1" applyFill="1" applyBorder="1" applyAlignment="1" applyProtection="1">
      <alignment horizontal="center" vertical="center" shrinkToFit="1"/>
    </xf>
    <xf numFmtId="187" fontId="5" fillId="0" borderId="0" xfId="0" applyNumberFormat="1" applyFont="1" applyBorder="1" applyAlignment="1" applyProtection="1">
      <alignment horizontal="right" vertical="center"/>
    </xf>
    <xf numFmtId="0" fontId="12" fillId="0" borderId="26" xfId="0" applyFont="1" applyFill="1" applyBorder="1" applyAlignment="1" applyProtection="1">
      <alignment horizontal="center" vertical="center" wrapText="1"/>
    </xf>
    <xf numFmtId="193" fontId="11" fillId="4" borderId="47" xfId="0" applyNumberFormat="1" applyFont="1" applyFill="1" applyBorder="1" applyAlignment="1" applyProtection="1">
      <alignment horizontal="right" vertical="center" wrapText="1"/>
    </xf>
    <xf numFmtId="193" fontId="11" fillId="4" borderId="31" xfId="0" applyNumberFormat="1" applyFont="1" applyFill="1" applyBorder="1" applyAlignment="1" applyProtection="1">
      <alignment horizontal="left" vertical="center" wrapText="1"/>
    </xf>
    <xf numFmtId="193" fontId="34" fillId="4" borderId="13" xfId="0" applyNumberFormat="1" applyFont="1" applyFill="1" applyBorder="1" applyAlignment="1" applyProtection="1">
      <alignment horizontal="right" vertical="center" wrapText="1"/>
    </xf>
    <xf numFmtId="193" fontId="34" fillId="4" borderId="1" xfId="0" applyNumberFormat="1" applyFont="1" applyFill="1" applyBorder="1" applyAlignment="1" applyProtection="1">
      <alignment horizontal="left" vertical="center" wrapText="1"/>
    </xf>
    <xf numFmtId="178" fontId="14" fillId="0" borderId="0" xfId="0" applyNumberFormat="1" applyFont="1" applyFill="1" applyBorder="1" applyAlignment="1" applyProtection="1">
      <alignment horizontal="right" vertical="center"/>
    </xf>
    <xf numFmtId="49" fontId="7" fillId="0" borderId="7" xfId="2" applyNumberFormat="1" applyFont="1" applyBorder="1" applyAlignment="1" applyProtection="1">
      <alignment horizontal="left" vertical="center"/>
    </xf>
    <xf numFmtId="0" fontId="11" fillId="0" borderId="1" xfId="0" applyFont="1" applyBorder="1" applyAlignment="1" applyProtection="1">
      <alignment vertical="center" shrinkToFit="1"/>
    </xf>
    <xf numFmtId="0" fontId="12" fillId="0" borderId="0" xfId="0" applyFont="1" applyFill="1" applyBorder="1" applyAlignment="1" applyProtection="1">
      <alignment vertical="center"/>
    </xf>
    <xf numFmtId="31" fontId="5" fillId="7" borderId="12" xfId="0" applyNumberFormat="1" applyFont="1" applyFill="1" applyBorder="1" applyAlignment="1" applyProtection="1">
      <alignment horizontal="center" vertical="center"/>
      <protection locked="0"/>
    </xf>
    <xf numFmtId="0" fontId="5" fillId="7" borderId="34" xfId="0" applyFont="1" applyFill="1" applyBorder="1" applyAlignment="1" applyProtection="1">
      <alignment horizontal="center" vertical="center"/>
      <protection locked="0"/>
    </xf>
    <xf numFmtId="0" fontId="5" fillId="7" borderId="22" xfId="0" applyFont="1" applyFill="1" applyBorder="1" applyAlignment="1" applyProtection="1">
      <alignment horizontal="center" vertical="center"/>
      <protection locked="0"/>
    </xf>
    <xf numFmtId="0" fontId="0" fillId="0" borderId="16" xfId="0" applyBorder="1" applyProtection="1">
      <alignment vertical="center"/>
      <protection locked="0"/>
    </xf>
    <xf numFmtId="0" fontId="5" fillId="0" borderId="7" xfId="0" applyFont="1" applyFill="1" applyBorder="1" applyAlignment="1" applyProtection="1">
      <alignment horizontal="center" vertical="center"/>
    </xf>
    <xf numFmtId="177" fontId="5" fillId="0" borderId="10" xfId="0" applyNumberFormat="1" applyFont="1" applyBorder="1" applyAlignment="1" applyProtection="1">
      <alignment horizontal="right" vertical="center"/>
    </xf>
    <xf numFmtId="0" fontId="5" fillId="0" borderId="0" xfId="0" applyFont="1" applyFill="1" applyBorder="1" applyAlignment="1" applyProtection="1">
      <alignment horizontal="right" vertical="justify"/>
    </xf>
    <xf numFmtId="0" fontId="7" fillId="0" borderId="0" xfId="0" applyFont="1" applyBorder="1" applyAlignment="1" applyProtection="1">
      <alignment vertical="center"/>
    </xf>
    <xf numFmtId="185" fontId="5" fillId="0" borderId="15" xfId="0" applyNumberFormat="1" applyFont="1" applyFill="1" applyBorder="1" applyAlignment="1" applyProtection="1">
      <alignment horizontal="center" vertical="center"/>
    </xf>
    <xf numFmtId="0" fontId="0" fillId="0" borderId="1" xfId="0" applyBorder="1" applyProtection="1">
      <alignment vertical="center"/>
    </xf>
    <xf numFmtId="0" fontId="5" fillId="0" borderId="6" xfId="0" applyFont="1" applyBorder="1" applyAlignment="1" applyProtection="1">
      <alignment horizontal="center" vertical="center" shrinkToFit="1"/>
    </xf>
    <xf numFmtId="0" fontId="4" fillId="0" borderId="0" xfId="0" applyFont="1" applyBorder="1" applyAlignment="1" applyProtection="1">
      <alignment horizontal="left" vertical="center"/>
    </xf>
    <xf numFmtId="180" fontId="14" fillId="0" borderId="9" xfId="0" applyNumberFormat="1" applyFont="1" applyFill="1" applyBorder="1" applyAlignment="1" applyProtection="1">
      <alignment horizontal="center" vertical="center"/>
    </xf>
    <xf numFmtId="0" fontId="7" fillId="0" borderId="7" xfId="0" applyFont="1" applyBorder="1" applyAlignment="1" applyProtection="1">
      <alignment horizontal="left" vertical="center"/>
    </xf>
    <xf numFmtId="179" fontId="5" fillId="0" borderId="0" xfId="0" applyNumberFormat="1" applyFont="1" applyBorder="1" applyAlignment="1" applyProtection="1">
      <alignment horizontal="right" vertical="center"/>
    </xf>
    <xf numFmtId="0" fontId="19" fillId="0" borderId="0" xfId="0" applyFont="1" applyBorder="1" applyAlignment="1" applyProtection="1">
      <alignment horizontal="center" vertical="center"/>
    </xf>
    <xf numFmtId="0" fontId="19" fillId="0" borderId="0" xfId="0" applyFont="1" applyBorder="1" applyAlignment="1" applyProtection="1">
      <alignment vertical="center"/>
    </xf>
    <xf numFmtId="0" fontId="50" fillId="0" borderId="0" xfId="0" applyFont="1" applyBorder="1" applyProtection="1">
      <alignment vertical="center"/>
    </xf>
    <xf numFmtId="38" fontId="5" fillId="0" borderId="0" xfId="2" applyFont="1" applyAlignment="1" applyProtection="1">
      <alignment vertical="center"/>
    </xf>
    <xf numFmtId="0" fontId="5" fillId="0" borderId="0" xfId="0" applyFont="1" applyAlignment="1" applyProtection="1">
      <alignment vertical="center"/>
    </xf>
    <xf numFmtId="0" fontId="36" fillId="2" borderId="26" xfId="0" applyFont="1" applyFill="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0" fontId="15" fillId="0" borderId="23" xfId="0" applyFont="1" applyFill="1" applyBorder="1" applyAlignment="1" applyProtection="1">
      <alignment horizontal="center" vertical="center"/>
    </xf>
    <xf numFmtId="0" fontId="5" fillId="0" borderId="23" xfId="0" applyFont="1" applyFill="1" applyBorder="1" applyAlignment="1" applyProtection="1">
      <alignment horizontal="center" vertical="center" shrinkToFit="1"/>
    </xf>
    <xf numFmtId="38" fontId="5" fillId="0" borderId="0" xfId="2" applyFont="1" applyBorder="1" applyAlignment="1" applyProtection="1">
      <alignment horizontal="right" vertical="center" shrinkToFit="1"/>
    </xf>
    <xf numFmtId="178" fontId="11" fillId="0" borderId="0" xfId="0" applyNumberFormat="1" applyFont="1" applyBorder="1" applyAlignment="1" applyProtection="1">
      <alignment horizontal="center" vertical="center" shrinkToFit="1"/>
    </xf>
    <xf numFmtId="178" fontId="11" fillId="0" borderId="1" xfId="0" applyNumberFormat="1" applyFont="1" applyBorder="1" applyAlignment="1" applyProtection="1">
      <alignment horizontal="center" vertical="center" shrinkToFit="1"/>
    </xf>
    <xf numFmtId="38" fontId="5" fillId="0" borderId="0" xfId="2" applyFont="1" applyFill="1" applyBorder="1" applyAlignment="1" applyProtection="1">
      <alignment horizontal="left" vertical="justify" wrapText="1"/>
    </xf>
    <xf numFmtId="0" fontId="5" fillId="0" borderId="7" xfId="0" applyFont="1" applyBorder="1" applyAlignment="1" applyProtection="1">
      <alignment vertical="center"/>
    </xf>
    <xf numFmtId="0" fontId="5" fillId="0" borderId="0" xfId="0" applyFont="1" applyBorder="1" applyAlignment="1" applyProtection="1">
      <alignment horizontal="justify" vertical="justify"/>
    </xf>
    <xf numFmtId="0" fontId="11" fillId="0" borderId="0" xfId="0" applyFont="1" applyBorder="1" applyAlignment="1" applyProtection="1">
      <alignment vertical="center" shrinkToFit="1"/>
    </xf>
    <xf numFmtId="0" fontId="0" fillId="0" borderId="1" xfId="0" applyBorder="1" applyAlignment="1" applyProtection="1">
      <alignment vertical="center" shrinkToFit="1"/>
    </xf>
    <xf numFmtId="0" fontId="12" fillId="0" borderId="0" xfId="0" applyFont="1" applyBorder="1" applyAlignment="1" applyProtection="1">
      <alignment vertical="center" shrinkToFit="1"/>
    </xf>
    <xf numFmtId="0" fontId="11" fillId="0" borderId="0"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2" fillId="0" borderId="0" xfId="0" applyFont="1" applyBorder="1" applyAlignment="1" applyProtection="1">
      <alignment horizontal="left" vertical="center" shrinkToFit="1"/>
    </xf>
    <xf numFmtId="0" fontId="11" fillId="0" borderId="0" xfId="0" applyFont="1" applyBorder="1" applyAlignment="1" applyProtection="1">
      <alignment horizontal="left" vertical="center" shrinkToFit="1"/>
    </xf>
    <xf numFmtId="0" fontId="11" fillId="0" borderId="1" xfId="0" applyFont="1" applyBorder="1" applyAlignment="1" applyProtection="1">
      <alignment horizontal="left" vertical="center" shrinkToFit="1"/>
    </xf>
    <xf numFmtId="0" fontId="5" fillId="0" borderId="15" xfId="0" applyFont="1" applyBorder="1" applyAlignment="1" applyProtection="1">
      <alignment horizontal="center" vertical="center" shrinkToFit="1"/>
    </xf>
    <xf numFmtId="0" fontId="5" fillId="0" borderId="0" xfId="0" applyFont="1" applyBorder="1" applyAlignment="1" applyProtection="1">
      <alignment horizontal="left" vertical="justify"/>
    </xf>
    <xf numFmtId="0" fontId="18" fillId="0" borderId="0" xfId="0" applyFont="1" applyBorder="1" applyAlignment="1" applyProtection="1">
      <alignment horizontal="right" vertical="justify"/>
    </xf>
    <xf numFmtId="0" fontId="18" fillId="0" borderId="11" xfId="0" applyFont="1" applyBorder="1" applyAlignment="1" applyProtection="1">
      <alignment horizontal="right" vertical="justify"/>
    </xf>
    <xf numFmtId="0" fontId="5" fillId="0" borderId="0" xfId="0" applyFont="1" applyBorder="1" applyAlignment="1" applyProtection="1">
      <alignment horizontal="left" vertical="top" wrapText="1"/>
    </xf>
    <xf numFmtId="0" fontId="5" fillId="0" borderId="0" xfId="0" applyFont="1" applyBorder="1" applyAlignment="1" applyProtection="1">
      <alignment horizontal="left" vertical="center"/>
    </xf>
    <xf numFmtId="0" fontId="5" fillId="2" borderId="25" xfId="0" applyFont="1" applyFill="1" applyBorder="1" applyProtection="1">
      <alignment vertical="center"/>
    </xf>
    <xf numFmtId="0" fontId="2" fillId="3" borderId="35" xfId="0" applyFont="1" applyFill="1" applyBorder="1" applyAlignment="1" applyProtection="1">
      <alignment horizontal="center" vertical="center"/>
    </xf>
    <xf numFmtId="0" fontId="48" fillId="0" borderId="0" xfId="0" applyFont="1" applyProtection="1">
      <alignment vertical="center"/>
    </xf>
    <xf numFmtId="0" fontId="5" fillId="0" borderId="43" xfId="0" applyFont="1" applyBorder="1" applyAlignment="1" applyProtection="1">
      <alignment horizontal="center" vertical="center"/>
    </xf>
    <xf numFmtId="0" fontId="14" fillId="0" borderId="15" xfId="0" applyFont="1" applyBorder="1" applyAlignment="1" applyProtection="1">
      <alignment horizontal="center" vertical="center"/>
    </xf>
    <xf numFmtId="0" fontId="5" fillId="0" borderId="1" xfId="0" applyFont="1" applyBorder="1" applyAlignment="1" applyProtection="1">
      <alignment vertical="center"/>
    </xf>
    <xf numFmtId="0" fontId="5" fillId="0" borderId="0" xfId="0" applyFont="1" applyBorder="1" applyAlignment="1" applyProtection="1">
      <alignment vertical="top" wrapText="1"/>
    </xf>
    <xf numFmtId="0" fontId="0" fillId="0" borderId="1" xfId="0" applyBorder="1" applyAlignment="1" applyProtection="1">
      <alignment vertical="center"/>
    </xf>
    <xf numFmtId="179" fontId="5" fillId="0" borderId="10" xfId="0" applyNumberFormat="1" applyFont="1" applyFill="1" applyBorder="1" applyAlignment="1" applyProtection="1">
      <alignment horizontal="right" vertical="center"/>
    </xf>
    <xf numFmtId="181" fontId="14" fillId="0" borderId="9" xfId="0" applyNumberFormat="1" applyFont="1" applyBorder="1" applyAlignment="1" applyProtection="1">
      <alignment horizontal="center" vertical="center"/>
    </xf>
    <xf numFmtId="181" fontId="7" fillId="0" borderId="9" xfId="0" applyNumberFormat="1" applyFont="1" applyBorder="1" applyAlignment="1" applyProtection="1">
      <alignment horizontal="center" vertical="center"/>
    </xf>
    <xf numFmtId="181" fontId="14" fillId="0" borderId="0" xfId="0" applyNumberFormat="1" applyFont="1" applyBorder="1" applyAlignment="1" applyProtection="1">
      <alignment horizontal="center" vertical="center"/>
    </xf>
    <xf numFmtId="181" fontId="7" fillId="0" borderId="0" xfId="0" applyNumberFormat="1" applyFont="1" applyBorder="1" applyAlignment="1" applyProtection="1">
      <alignment horizontal="center" vertical="center"/>
    </xf>
    <xf numFmtId="180" fontId="5" fillId="0" borderId="0" xfId="0" applyNumberFormat="1" applyFont="1" applyFill="1" applyBorder="1" applyAlignment="1" applyProtection="1">
      <alignment horizontal="right" vertical="center"/>
    </xf>
    <xf numFmtId="0" fontId="11" fillId="0" borderId="0" xfId="0" applyFont="1" applyBorder="1" applyAlignment="1" applyProtection="1">
      <alignment vertical="center"/>
    </xf>
    <xf numFmtId="176" fontId="5" fillId="0" borderId="0" xfId="0" applyNumberFormat="1" applyFont="1" applyFill="1" applyBorder="1" applyAlignment="1" applyProtection="1">
      <alignment horizontal="right" vertical="center"/>
    </xf>
    <xf numFmtId="176" fontId="5" fillId="0" borderId="0" xfId="0" applyNumberFormat="1" applyFont="1" applyFill="1" applyBorder="1" applyAlignment="1" applyProtection="1">
      <alignment horizontal="center" vertical="center"/>
    </xf>
    <xf numFmtId="176" fontId="5" fillId="0" borderId="10" xfId="0" applyNumberFormat="1" applyFont="1" applyFill="1" applyBorder="1" applyAlignment="1" applyProtection="1">
      <alignment horizontal="right" vertical="center"/>
    </xf>
    <xf numFmtId="2" fontId="5" fillId="0" borderId="0" xfId="0" applyNumberFormat="1" applyFont="1" applyBorder="1" applyProtection="1">
      <alignment vertical="center"/>
    </xf>
    <xf numFmtId="0" fontId="0" fillId="0" borderId="2" xfId="0" applyBorder="1" applyProtection="1">
      <alignment vertical="center"/>
      <protection locked="0"/>
    </xf>
    <xf numFmtId="0" fontId="5" fillId="0" borderId="16" xfId="0" applyFont="1" applyBorder="1" applyAlignment="1" applyProtection="1">
      <alignment horizontal="center" vertical="center" shrinkToFit="1"/>
      <protection locked="0"/>
    </xf>
    <xf numFmtId="179" fontId="5" fillId="5" borderId="44" xfId="0" applyNumberFormat="1" applyFont="1" applyFill="1" applyBorder="1" applyAlignment="1" applyProtection="1">
      <alignment horizontal="center" vertical="center"/>
      <protection locked="0"/>
    </xf>
    <xf numFmtId="180" fontId="5" fillId="5" borderId="45" xfId="0" applyNumberFormat="1" applyFont="1" applyFill="1" applyBorder="1" applyAlignment="1" applyProtection="1">
      <alignment horizontal="center" vertical="center" shrinkToFit="1"/>
      <protection locked="0"/>
    </xf>
    <xf numFmtId="178" fontId="5" fillId="5" borderId="10" xfId="0" applyNumberFormat="1" applyFont="1" applyFill="1" applyBorder="1" applyAlignment="1" applyProtection="1">
      <alignment horizontal="right" vertical="center"/>
      <protection locked="0"/>
    </xf>
    <xf numFmtId="178" fontId="14" fillId="5" borderId="10" xfId="0" applyNumberFormat="1" applyFont="1" applyFill="1" applyBorder="1" applyAlignment="1" applyProtection="1">
      <alignment horizontal="center" vertical="center"/>
      <protection locked="0"/>
    </xf>
    <xf numFmtId="49" fontId="14" fillId="5" borderId="10" xfId="0" applyNumberFormat="1" applyFont="1" applyFill="1" applyBorder="1" applyAlignment="1" applyProtection="1">
      <alignment horizontal="center" vertical="center"/>
      <protection locked="0"/>
    </xf>
    <xf numFmtId="178" fontId="14" fillId="5" borderId="10" xfId="0" applyNumberFormat="1" applyFont="1" applyFill="1" applyBorder="1" applyAlignment="1" applyProtection="1">
      <alignment horizontal="right" vertical="center"/>
      <protection locked="0"/>
    </xf>
    <xf numFmtId="179" fontId="5" fillId="3" borderId="10" xfId="0" applyNumberFormat="1" applyFont="1" applyFill="1" applyBorder="1" applyAlignment="1" applyProtection="1">
      <alignment horizontal="center" vertical="center"/>
      <protection locked="0"/>
    </xf>
    <xf numFmtId="179" fontId="5" fillId="3" borderId="20" xfId="0" applyNumberFormat="1" applyFont="1" applyFill="1" applyBorder="1" applyAlignment="1" applyProtection="1">
      <alignment horizontal="center" vertical="center"/>
      <protection locked="0"/>
    </xf>
    <xf numFmtId="180" fontId="5" fillId="3" borderId="35" xfId="0" applyNumberFormat="1" applyFont="1" applyFill="1" applyBorder="1" applyAlignment="1" applyProtection="1">
      <alignment horizontal="center" vertical="center" shrinkToFit="1"/>
      <protection locked="0"/>
    </xf>
    <xf numFmtId="180" fontId="5" fillId="3" borderId="46" xfId="0" applyNumberFormat="1" applyFont="1" applyFill="1" applyBorder="1" applyAlignment="1" applyProtection="1">
      <alignment horizontal="center" vertical="center" shrinkToFit="1"/>
      <protection locked="0"/>
    </xf>
    <xf numFmtId="0" fontId="19" fillId="0" borderId="0" xfId="0" applyFont="1" applyBorder="1" applyAlignment="1" applyProtection="1">
      <alignment horizontal="center" vertical="center"/>
      <protection locked="0"/>
    </xf>
    <xf numFmtId="184" fontId="5" fillId="2" borderId="10" xfId="0" applyNumberFormat="1" applyFont="1" applyFill="1" applyBorder="1" applyAlignment="1" applyProtection="1">
      <alignment horizontal="right" vertical="center"/>
      <protection locked="0"/>
    </xf>
    <xf numFmtId="183" fontId="5" fillId="2" borderId="10" xfId="0" applyNumberFormat="1" applyFont="1" applyFill="1" applyBorder="1" applyAlignment="1" applyProtection="1">
      <alignment horizontal="right" vertical="center"/>
      <protection locked="0"/>
    </xf>
    <xf numFmtId="178" fontId="6" fillId="5" borderId="26" xfId="0" applyNumberFormat="1" applyFont="1" applyFill="1" applyBorder="1" applyAlignment="1" applyProtection="1">
      <alignment horizontal="right" vertical="center"/>
      <protection locked="0"/>
    </xf>
    <xf numFmtId="178" fontId="6" fillId="2" borderId="26" xfId="0" applyNumberFormat="1" applyFont="1" applyFill="1" applyBorder="1" applyAlignment="1" applyProtection="1">
      <alignment horizontal="right" vertical="center"/>
      <protection locked="0"/>
    </xf>
    <xf numFmtId="179" fontId="5" fillId="3" borderId="10" xfId="0" applyNumberFormat="1" applyFont="1" applyFill="1" applyBorder="1" applyAlignment="1" applyProtection="1">
      <alignment horizontal="center" vertical="center" shrinkToFit="1"/>
      <protection locked="0"/>
    </xf>
    <xf numFmtId="177" fontId="5" fillId="2" borderId="10" xfId="0" applyNumberFormat="1" applyFont="1" applyFill="1" applyBorder="1" applyAlignment="1" applyProtection="1">
      <alignment vertical="center"/>
      <protection locked="0"/>
    </xf>
    <xf numFmtId="184" fontId="5" fillId="5" borderId="10" xfId="0" applyNumberFormat="1" applyFont="1" applyFill="1" applyBorder="1" applyAlignment="1" applyProtection="1">
      <alignment vertical="center"/>
      <protection locked="0"/>
    </xf>
    <xf numFmtId="183" fontId="5" fillId="5" borderId="10" xfId="0" applyNumberFormat="1" applyFont="1" applyFill="1" applyBorder="1" applyAlignment="1" applyProtection="1">
      <alignment horizontal="right" vertical="center"/>
      <protection locked="0"/>
    </xf>
    <xf numFmtId="184" fontId="5" fillId="2" borderId="10" xfId="0" applyNumberFormat="1" applyFont="1" applyFill="1" applyBorder="1" applyAlignment="1" applyProtection="1">
      <alignment vertical="center"/>
      <protection locked="0"/>
    </xf>
    <xf numFmtId="180" fontId="5" fillId="0" borderId="0" xfId="0" applyNumberFormat="1" applyFont="1" applyBorder="1" applyAlignment="1" applyProtection="1">
      <alignment vertical="center"/>
      <protection locked="0"/>
    </xf>
    <xf numFmtId="179" fontId="5" fillId="0" borderId="0" xfId="0" applyNumberFormat="1" applyFont="1" applyBorder="1" applyAlignment="1" applyProtection="1">
      <alignment vertical="center"/>
      <protection locked="0"/>
    </xf>
    <xf numFmtId="0" fontId="6" fillId="2" borderId="26"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184" fontId="7" fillId="0" borderId="23" xfId="0" applyNumberFormat="1" applyFont="1" applyBorder="1" applyAlignment="1" applyProtection="1">
      <alignment horizontal="center" vertical="center" wrapText="1"/>
    </xf>
    <xf numFmtId="184" fontId="7" fillId="0" borderId="14" xfId="0" applyNumberFormat="1" applyFont="1" applyBorder="1" applyAlignment="1" applyProtection="1">
      <alignment horizontal="center" vertical="center" wrapText="1"/>
    </xf>
    <xf numFmtId="0" fontId="6" fillId="0" borderId="25" xfId="0" applyFont="1" applyFill="1" applyBorder="1" applyAlignment="1" applyProtection="1">
      <alignment horizontal="center" vertical="center" wrapText="1" shrinkToFit="1"/>
      <protection locked="0"/>
    </xf>
    <xf numFmtId="0" fontId="6" fillId="0" borderId="28" xfId="0" applyFont="1" applyFill="1" applyBorder="1" applyAlignment="1" applyProtection="1">
      <alignment horizontal="center" vertical="center" wrapText="1" shrinkToFit="1"/>
      <protection locked="0"/>
    </xf>
    <xf numFmtId="0" fontId="34" fillId="4" borderId="32" xfId="0" applyNumberFormat="1" applyFont="1" applyFill="1" applyBorder="1" applyAlignment="1" applyProtection="1">
      <alignment horizontal="center" vertical="center" wrapText="1"/>
    </xf>
    <xf numFmtId="0" fontId="34" fillId="4" borderId="33" xfId="0" applyNumberFormat="1" applyFont="1" applyFill="1" applyBorder="1" applyAlignment="1" applyProtection="1">
      <alignment horizontal="center" vertical="center" wrapText="1"/>
    </xf>
    <xf numFmtId="195" fontId="34" fillId="0" borderId="47" xfId="0" applyNumberFormat="1" applyFont="1" applyBorder="1" applyAlignment="1" applyProtection="1">
      <alignment horizontal="center" vertical="center"/>
    </xf>
    <xf numFmtId="195" fontId="34" fillId="0" borderId="31" xfId="0" applyNumberFormat="1" applyFont="1" applyBorder="1" applyAlignment="1" applyProtection="1">
      <alignment horizontal="center" vertical="center"/>
    </xf>
    <xf numFmtId="0" fontId="11" fillId="4" borderId="40"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183" fontId="7" fillId="0" borderId="21" xfId="0" applyNumberFormat="1" applyFont="1" applyBorder="1" applyAlignment="1" applyProtection="1">
      <alignment horizontal="center" vertical="center" wrapText="1"/>
    </xf>
    <xf numFmtId="183" fontId="7" fillId="0" borderId="14" xfId="0" applyNumberFormat="1" applyFont="1" applyBorder="1" applyAlignment="1" applyProtection="1">
      <alignment horizontal="center" vertical="center" wrapText="1"/>
    </xf>
    <xf numFmtId="0" fontId="12" fillId="4" borderId="26" xfId="0" applyFont="1" applyFill="1" applyBorder="1" applyAlignment="1" applyProtection="1">
      <alignment horizontal="center" vertical="center" wrapText="1"/>
    </xf>
    <xf numFmtId="0" fontId="12" fillId="4"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shrinkToFit="1"/>
    </xf>
    <xf numFmtId="0" fontId="5" fillId="0" borderId="25" xfId="0" applyFont="1" applyFill="1" applyBorder="1" applyAlignment="1" applyProtection="1">
      <alignment horizontal="center" vertical="center" shrinkToFit="1"/>
    </xf>
    <xf numFmtId="0" fontId="12" fillId="0" borderId="26" xfId="0" applyFont="1" applyBorder="1" applyAlignment="1" applyProtection="1">
      <alignment horizontal="center" vertical="center" shrinkToFit="1"/>
    </xf>
    <xf numFmtId="0" fontId="12" fillId="0" borderId="28" xfId="0" applyFont="1" applyBorder="1" applyAlignment="1" applyProtection="1">
      <alignment horizontal="center" vertical="center" shrinkToFit="1"/>
    </xf>
    <xf numFmtId="31" fontId="5" fillId="0" borderId="25" xfId="0" applyNumberFormat="1" applyFont="1" applyBorder="1" applyAlignment="1" applyProtection="1">
      <alignment horizontal="center" vertical="center"/>
      <protection locked="0"/>
    </xf>
    <xf numFmtId="0" fontId="6" fillId="2" borderId="28" xfId="0" applyFont="1" applyFill="1" applyBorder="1" applyAlignment="1" applyProtection="1">
      <alignment horizontal="center" vertical="center" shrinkToFit="1"/>
      <protection locked="0"/>
    </xf>
    <xf numFmtId="0" fontId="11" fillId="4" borderId="26" xfId="0" applyFont="1" applyFill="1" applyBorder="1" applyAlignment="1" applyProtection="1">
      <alignment horizontal="center" vertical="center" wrapText="1"/>
    </xf>
    <xf numFmtId="0" fontId="11" fillId="4" borderId="25" xfId="0" applyFont="1" applyFill="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4" borderId="64" xfId="0" applyFont="1" applyFill="1" applyBorder="1" applyAlignment="1" applyProtection="1">
      <alignment horizontal="center" vertical="center" wrapText="1"/>
    </xf>
    <xf numFmtId="0" fontId="5" fillId="4" borderId="19" xfId="0" applyFont="1" applyFill="1" applyBorder="1" applyAlignment="1" applyProtection="1">
      <alignment horizontal="center" vertical="center" wrapText="1"/>
    </xf>
    <xf numFmtId="0" fontId="5" fillId="0" borderId="26" xfId="0" applyFont="1" applyBorder="1" applyAlignment="1" applyProtection="1">
      <alignment horizontal="center" vertical="center" shrinkToFit="1"/>
    </xf>
    <xf numFmtId="0" fontId="5" fillId="0" borderId="25" xfId="0" applyFont="1" applyBorder="1" applyAlignment="1" applyProtection="1">
      <alignment horizontal="center" vertical="center" shrinkToFit="1"/>
    </xf>
    <xf numFmtId="0" fontId="5" fillId="0" borderId="28" xfId="0" applyFont="1" applyBorder="1" applyAlignment="1" applyProtection="1">
      <alignment horizontal="center" vertical="center" shrinkToFit="1"/>
    </xf>
    <xf numFmtId="0" fontId="5" fillId="0" borderId="48" xfId="0" applyFont="1" applyFill="1" applyBorder="1" applyAlignment="1" applyProtection="1">
      <alignment horizontal="center" vertical="center" shrinkToFit="1"/>
    </xf>
    <xf numFmtId="0" fontId="5" fillId="0" borderId="41" xfId="0" applyFont="1" applyFill="1" applyBorder="1" applyAlignment="1" applyProtection="1">
      <alignment horizontal="center" vertical="center" shrinkToFit="1"/>
    </xf>
    <xf numFmtId="184" fontId="7" fillId="0" borderId="24" xfId="0" applyNumberFormat="1" applyFont="1" applyBorder="1" applyAlignment="1" applyProtection="1">
      <alignment horizontal="center" vertical="center" wrapText="1"/>
    </xf>
    <xf numFmtId="0" fontId="15" fillId="0" borderId="50" xfId="0" applyFont="1" applyBorder="1" applyAlignment="1" applyProtection="1">
      <alignment horizontal="center" vertical="center"/>
    </xf>
    <xf numFmtId="0" fontId="15" fillId="0" borderId="14" xfId="0" applyFont="1" applyBorder="1" applyAlignment="1" applyProtection="1">
      <alignment horizontal="center" vertical="center"/>
    </xf>
    <xf numFmtId="0" fontId="5" fillId="0" borderId="23"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2" borderId="26"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176" fontId="14" fillId="2" borderId="26" xfId="0" applyNumberFormat="1" applyFont="1" applyFill="1" applyBorder="1" applyAlignment="1" applyProtection="1">
      <alignment horizontal="center" vertical="center"/>
      <protection locked="0"/>
    </xf>
    <xf numFmtId="176" fontId="14" fillId="2" borderId="25" xfId="0" applyNumberFormat="1" applyFont="1" applyFill="1" applyBorder="1" applyAlignment="1" applyProtection="1">
      <alignment horizontal="center" vertical="center"/>
      <protection locked="0"/>
    </xf>
    <xf numFmtId="0" fontId="5" fillId="0" borderId="22"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50" xfId="0" applyFont="1" applyBorder="1" applyAlignment="1" applyProtection="1">
      <alignment horizontal="center" vertical="center" shrinkToFit="1"/>
    </xf>
    <xf numFmtId="0" fontId="0" fillId="0" borderId="26" xfId="0" applyFont="1" applyBorder="1" applyAlignment="1" applyProtection="1">
      <alignment horizontal="left" vertical="center" wrapText="1"/>
    </xf>
    <xf numFmtId="0" fontId="2" fillId="0" borderId="25" xfId="0" applyFont="1" applyBorder="1" applyAlignment="1" applyProtection="1">
      <alignment horizontal="left" vertical="center" wrapText="1"/>
    </xf>
    <xf numFmtId="0" fontId="2" fillId="0" borderId="28" xfId="0" applyFont="1" applyBorder="1" applyAlignment="1" applyProtection="1">
      <alignment horizontal="left" vertical="center" wrapText="1"/>
    </xf>
    <xf numFmtId="0" fontId="5" fillId="0" borderId="26" xfId="0" applyFont="1" applyBorder="1" applyAlignment="1" applyProtection="1">
      <alignment horizontal="left" vertical="center"/>
    </xf>
    <xf numFmtId="0" fontId="5"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0" fillId="0" borderId="28" xfId="0" applyBorder="1" applyAlignment="1" applyProtection="1">
      <alignment horizontal="left" vertical="center"/>
    </xf>
    <xf numFmtId="0" fontId="0" fillId="0" borderId="40"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47" xfId="0" applyBorder="1" applyAlignment="1" applyProtection="1">
      <alignment horizontal="left" vertical="center" wrapText="1"/>
    </xf>
    <xf numFmtId="0" fontId="0" fillId="0" borderId="49" xfId="0" applyBorder="1" applyAlignment="1" applyProtection="1">
      <alignment horizontal="left" vertical="center" wrapText="1"/>
    </xf>
    <xf numFmtId="0" fontId="11" fillId="0" borderId="26" xfId="0" applyFont="1" applyFill="1" applyBorder="1" applyAlignment="1" applyProtection="1">
      <alignment horizontal="center" vertical="center" wrapText="1" shrinkToFit="1"/>
    </xf>
    <xf numFmtId="0" fontId="11" fillId="0" borderId="28" xfId="0" applyFont="1" applyBorder="1" applyAlignment="1" applyProtection="1">
      <alignment horizontal="center" vertical="center" shrinkToFit="1"/>
    </xf>
    <xf numFmtId="0" fontId="2" fillId="0" borderId="49"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5" fillId="0" borderId="23" xfId="0" applyFont="1" applyBorder="1" applyAlignment="1" applyProtection="1">
      <alignment horizontal="center" vertical="center"/>
    </xf>
    <xf numFmtId="0" fontId="5" fillId="0" borderId="62" xfId="0" applyFont="1" applyBorder="1" applyAlignment="1" applyProtection="1">
      <alignment horizontal="center" vertical="center"/>
    </xf>
    <xf numFmtId="0" fontId="14" fillId="5" borderId="32" xfId="0" applyFont="1" applyFill="1" applyBorder="1" applyAlignment="1" applyProtection="1">
      <alignment horizontal="center" vertical="center"/>
      <protection locked="0"/>
    </xf>
    <xf numFmtId="0" fontId="14" fillId="5" borderId="18" xfId="0" applyFont="1" applyFill="1" applyBorder="1" applyAlignment="1" applyProtection="1">
      <alignment horizontal="center" vertical="center"/>
      <protection locked="0"/>
    </xf>
    <xf numFmtId="0" fontId="14" fillId="5" borderId="33"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4" fillId="5" borderId="0"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31" fontId="2" fillId="2" borderId="59" xfId="0" applyNumberFormat="1" applyFont="1" applyFill="1" applyBorder="1" applyAlignment="1" applyProtection="1">
      <alignment horizontal="center" vertical="center" wrapText="1"/>
      <protection locked="0"/>
    </xf>
    <xf numFmtId="0" fontId="2" fillId="2" borderId="60"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0" fillId="7" borderId="36" xfId="0" applyFont="1" applyFill="1" applyBorder="1" applyAlignment="1" applyProtection="1">
      <alignment horizontal="center" vertical="center" wrapText="1"/>
    </xf>
    <xf numFmtId="0" fontId="0" fillId="7" borderId="37" xfId="0" applyFont="1" applyFill="1" applyBorder="1" applyAlignment="1" applyProtection="1">
      <alignment horizontal="center" vertical="center" wrapText="1"/>
    </xf>
    <xf numFmtId="0" fontId="0" fillId="7" borderId="38" xfId="0" applyFont="1" applyFill="1" applyBorder="1" applyAlignment="1" applyProtection="1">
      <alignment horizontal="center" vertical="center" wrapText="1"/>
    </xf>
    <xf numFmtId="0" fontId="34" fillId="4" borderId="32" xfId="0" applyFont="1" applyFill="1" applyBorder="1" applyAlignment="1" applyProtection="1">
      <alignment horizontal="center" vertical="center" shrinkToFit="1"/>
    </xf>
    <xf numFmtId="0" fontId="34" fillId="4" borderId="33" xfId="0" applyFont="1" applyFill="1" applyBorder="1" applyAlignment="1" applyProtection="1">
      <alignment horizontal="center" vertical="center" shrinkToFit="1"/>
    </xf>
    <xf numFmtId="0" fontId="11" fillId="0" borderId="26" xfId="0" applyFont="1" applyBorder="1" applyAlignment="1" applyProtection="1">
      <alignment horizontal="center" vertical="center"/>
    </xf>
    <xf numFmtId="0" fontId="11" fillId="0" borderId="27" xfId="0" applyFont="1" applyBorder="1" applyAlignment="1" applyProtection="1">
      <alignment horizontal="center" vertical="center"/>
    </xf>
    <xf numFmtId="179" fontId="7" fillId="0" borderId="23" xfId="0" applyNumberFormat="1" applyFont="1" applyFill="1" applyBorder="1" applyAlignment="1" applyProtection="1">
      <alignment horizontal="center" vertical="center"/>
    </xf>
    <xf numFmtId="179" fontId="7" fillId="0" borderId="24" xfId="0" applyNumberFormat="1" applyFont="1" applyFill="1" applyBorder="1" applyAlignment="1" applyProtection="1">
      <alignment horizontal="center" vertical="center"/>
    </xf>
    <xf numFmtId="179" fontId="7" fillId="0" borderId="14" xfId="0" applyNumberFormat="1" applyFont="1" applyFill="1" applyBorder="1" applyAlignment="1" applyProtection="1">
      <alignment horizontal="center" vertical="center"/>
    </xf>
    <xf numFmtId="0" fontId="34" fillId="4" borderId="13" xfId="0" applyFont="1" applyFill="1" applyBorder="1" applyAlignment="1" applyProtection="1">
      <alignment horizontal="center" vertical="center" shrinkToFit="1"/>
    </xf>
    <xf numFmtId="0" fontId="34" fillId="4" borderId="1" xfId="0" applyFont="1" applyFill="1" applyBorder="1" applyAlignment="1" applyProtection="1">
      <alignment horizontal="center" vertical="center" shrinkToFit="1"/>
    </xf>
    <xf numFmtId="0" fontId="5" fillId="0" borderId="25" xfId="0" applyFont="1" applyBorder="1" applyAlignment="1" applyProtection="1">
      <alignment horizontal="center" vertical="center"/>
    </xf>
    <xf numFmtId="0" fontId="0" fillId="0" borderId="47"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47" xfId="0" applyFont="1" applyBorder="1" applyAlignment="1" applyProtection="1">
      <alignment horizontal="left" vertical="center" wrapText="1"/>
    </xf>
    <xf numFmtId="0" fontId="5" fillId="0" borderId="49"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0" fillId="0" borderId="23"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2" fillId="0" borderId="62" xfId="0" applyFont="1" applyBorder="1" applyAlignment="1" applyProtection="1">
      <alignment horizontal="left" vertical="center" wrapText="1"/>
    </xf>
    <xf numFmtId="0" fontId="5" fillId="0" borderId="63" xfId="0" applyFont="1" applyBorder="1" applyAlignment="1" applyProtection="1">
      <alignment horizontal="center" vertical="center" wrapText="1"/>
    </xf>
    <xf numFmtId="0" fontId="15" fillId="0" borderId="23"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40" fillId="0" borderId="39" xfId="0" applyFont="1" applyFill="1" applyBorder="1" applyAlignment="1" applyProtection="1">
      <alignment horizontal="center" vertical="top" wrapText="1"/>
    </xf>
    <xf numFmtId="0" fontId="40" fillId="0" borderId="3" xfId="0" applyFont="1" applyFill="1" applyBorder="1" applyAlignment="1" applyProtection="1">
      <alignment horizontal="center" vertical="top" wrapText="1"/>
    </xf>
    <xf numFmtId="0" fontId="34" fillId="4" borderId="47" xfId="0" applyFont="1" applyFill="1" applyBorder="1" applyAlignment="1" applyProtection="1">
      <alignment horizontal="center" vertical="center" shrinkToFit="1"/>
    </xf>
    <xf numFmtId="0" fontId="34" fillId="4" borderId="31" xfId="0" applyFont="1" applyFill="1" applyBorder="1" applyAlignment="1" applyProtection="1">
      <alignment horizontal="center" vertical="center" shrinkToFit="1"/>
    </xf>
    <xf numFmtId="0" fontId="5" fillId="0" borderId="26" xfId="0" applyFont="1" applyFill="1" applyBorder="1" applyAlignment="1" applyProtection="1">
      <alignment horizontal="left" vertical="center"/>
    </xf>
    <xf numFmtId="0" fontId="5" fillId="0" borderId="25" xfId="0" applyFont="1" applyFill="1" applyBorder="1" applyAlignment="1" applyProtection="1">
      <alignment horizontal="left" vertical="center"/>
    </xf>
    <xf numFmtId="0" fontId="40" fillId="4" borderId="32" xfId="0" applyFont="1" applyFill="1" applyBorder="1" applyAlignment="1" applyProtection="1">
      <alignment horizontal="center" vertical="center" wrapText="1"/>
    </xf>
    <xf numFmtId="0" fontId="40" fillId="4" borderId="33" xfId="0" applyFont="1" applyFill="1" applyBorder="1" applyAlignment="1" applyProtection="1">
      <alignment horizontal="center" vertical="center" wrapText="1"/>
    </xf>
    <xf numFmtId="0" fontId="11" fillId="4" borderId="32" xfId="0" applyNumberFormat="1" applyFont="1" applyFill="1" applyBorder="1" applyAlignment="1" applyProtection="1">
      <alignment horizontal="center" vertical="center" wrapText="1"/>
    </xf>
    <xf numFmtId="0" fontId="11" fillId="4" borderId="33" xfId="0" applyNumberFormat="1"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xf>
    <xf numFmtId="0" fontId="5" fillId="0" borderId="62" xfId="0" applyFont="1" applyFill="1" applyBorder="1" applyAlignment="1" applyProtection="1">
      <alignment horizontal="center" vertical="center"/>
    </xf>
    <xf numFmtId="180" fontId="7" fillId="0" borderId="23" xfId="0" applyNumberFormat="1" applyFont="1" applyFill="1" applyBorder="1" applyAlignment="1" applyProtection="1">
      <alignment horizontal="center" vertical="center"/>
    </xf>
    <xf numFmtId="180" fontId="7" fillId="0" borderId="62" xfId="0" applyNumberFormat="1" applyFont="1" applyFill="1" applyBorder="1" applyAlignment="1" applyProtection="1">
      <alignment horizontal="center" vertical="center"/>
    </xf>
    <xf numFmtId="0" fontId="15" fillId="0" borderId="62" xfId="0" applyFont="1" applyFill="1" applyBorder="1" applyAlignment="1" applyProtection="1">
      <alignment horizontal="center" vertical="center"/>
    </xf>
    <xf numFmtId="0" fontId="5" fillId="0" borderId="39"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23" xfId="0" applyFont="1" applyFill="1" applyBorder="1" applyAlignment="1" applyProtection="1">
      <alignment horizontal="center" vertical="center" shrinkToFit="1"/>
    </xf>
    <xf numFmtId="0" fontId="5" fillId="0" borderId="24"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0" fillId="0" borderId="16" xfId="0" applyBorder="1" applyAlignment="1" applyProtection="1">
      <alignment vertical="center"/>
      <protection locked="0"/>
    </xf>
    <xf numFmtId="0" fontId="0" fillId="2" borderId="40" xfId="0" applyFill="1" applyBorder="1" applyAlignment="1" applyProtection="1">
      <alignment horizontal="center"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0" borderId="47" xfId="0" applyBorder="1" applyAlignment="1" applyProtection="1">
      <alignment vertical="center"/>
      <protection locked="0"/>
    </xf>
    <xf numFmtId="0" fontId="0" fillId="0" borderId="49" xfId="0" applyBorder="1" applyAlignment="1" applyProtection="1">
      <alignment vertical="center"/>
      <protection locked="0"/>
    </xf>
    <xf numFmtId="0" fontId="0" fillId="0" borderId="31" xfId="0" applyBorder="1" applyAlignment="1" applyProtection="1">
      <alignment vertical="center"/>
      <protection locked="0"/>
    </xf>
    <xf numFmtId="31" fontId="5" fillId="0" borderId="50" xfId="0" applyNumberFormat="1" applyFont="1" applyBorder="1" applyAlignment="1" applyProtection="1">
      <alignment horizontal="left" vertical="center"/>
      <protection locked="0"/>
    </xf>
    <xf numFmtId="0" fontId="0" fillId="0" borderId="14" xfId="0" applyBorder="1" applyAlignment="1" applyProtection="1">
      <alignment vertical="center"/>
      <protection locked="0"/>
    </xf>
    <xf numFmtId="0" fontId="36" fillId="2" borderId="26" xfId="0" applyFont="1" applyFill="1" applyBorder="1" applyAlignment="1" applyProtection="1">
      <alignment horizontal="center" vertical="center" shrinkToFit="1"/>
      <protection locked="0"/>
    </xf>
    <xf numFmtId="0" fontId="36" fillId="2" borderId="27" xfId="0" applyFont="1" applyFill="1" applyBorder="1" applyAlignment="1" applyProtection="1">
      <alignment horizontal="center" vertical="center" shrinkToFit="1"/>
      <protection locked="0"/>
    </xf>
    <xf numFmtId="0" fontId="5" fillId="5" borderId="32" xfId="0" applyFont="1" applyFill="1" applyBorder="1" applyAlignment="1" applyProtection="1">
      <alignment horizontal="left" vertical="center"/>
      <protection locked="0"/>
    </xf>
    <xf numFmtId="0" fontId="5" fillId="5" borderId="18" xfId="0" applyFont="1" applyFill="1" applyBorder="1" applyAlignment="1" applyProtection="1">
      <alignment horizontal="left" vertical="center"/>
      <protection locked="0"/>
    </xf>
    <xf numFmtId="0" fontId="0" fillId="5" borderId="18" xfId="0" applyFill="1" applyBorder="1" applyAlignment="1" applyProtection="1">
      <alignment horizontal="left" vertical="center"/>
      <protection locked="0"/>
    </xf>
    <xf numFmtId="0" fontId="0" fillId="5" borderId="33" xfId="0" applyFill="1" applyBorder="1" applyAlignment="1" applyProtection="1">
      <alignment horizontal="left" vertical="center"/>
      <protection locked="0"/>
    </xf>
    <xf numFmtId="0" fontId="0" fillId="2" borderId="25"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56" fontId="5" fillId="2" borderId="25" xfId="0" applyNumberFormat="1" applyFont="1" applyFill="1" applyBorder="1" applyAlignment="1" applyProtection="1">
      <alignment horizontal="right" vertical="center"/>
      <protection locked="0"/>
    </xf>
    <xf numFmtId="0" fontId="0" fillId="0" borderId="28" xfId="0" applyBorder="1" applyAlignment="1" applyProtection="1">
      <alignment vertical="center"/>
      <protection locked="0"/>
    </xf>
    <xf numFmtId="185" fontId="5" fillId="2" borderId="26" xfId="0" applyNumberFormat="1" applyFont="1" applyFill="1" applyBorder="1" applyAlignment="1" applyProtection="1">
      <alignment horizontal="right" vertical="center"/>
      <protection locked="0"/>
    </xf>
    <xf numFmtId="185" fontId="5" fillId="2" borderId="27" xfId="0" applyNumberFormat="1" applyFont="1" applyFill="1" applyBorder="1" applyAlignment="1" applyProtection="1">
      <alignment horizontal="right" vertical="center"/>
      <protection locked="0"/>
    </xf>
    <xf numFmtId="0" fontId="13" fillId="6" borderId="51" xfId="0" applyFont="1" applyFill="1" applyBorder="1" applyAlignment="1" applyProtection="1">
      <alignment horizontal="center" vertical="center"/>
      <protection locked="0"/>
    </xf>
    <xf numFmtId="0" fontId="13" fillId="6" borderId="52" xfId="0" applyFont="1" applyFill="1" applyBorder="1" applyAlignment="1" applyProtection="1">
      <alignment horizontal="center" vertical="center"/>
      <protection locked="0"/>
    </xf>
    <xf numFmtId="0" fontId="13" fillId="6" borderId="53"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0" fontId="9" fillId="5" borderId="55" xfId="0" applyFont="1" applyFill="1" applyBorder="1" applyAlignment="1" applyProtection="1">
      <alignment horizontal="center" vertical="center" wrapText="1" shrinkToFit="1"/>
      <protection locked="0"/>
    </xf>
    <xf numFmtId="0" fontId="9" fillId="5" borderId="56" xfId="0" applyFont="1" applyFill="1" applyBorder="1" applyAlignment="1" applyProtection="1">
      <alignment horizontal="center" vertical="center" wrapText="1" shrinkToFit="1"/>
      <protection locked="0"/>
    </xf>
    <xf numFmtId="0" fontId="9" fillId="5" borderId="57" xfId="0" applyFont="1" applyFill="1" applyBorder="1" applyAlignment="1" applyProtection="1">
      <alignment horizontal="center" vertical="center" wrapText="1" shrinkToFit="1"/>
      <protection locked="0"/>
    </xf>
    <xf numFmtId="0" fontId="9" fillId="5" borderId="47" xfId="0" applyFont="1" applyFill="1" applyBorder="1" applyAlignment="1" applyProtection="1">
      <alignment horizontal="center" vertical="center" wrapText="1" shrinkToFit="1"/>
      <protection locked="0"/>
    </xf>
    <xf numFmtId="0" fontId="9" fillId="5" borderId="49" xfId="0" applyFont="1" applyFill="1" applyBorder="1" applyAlignment="1" applyProtection="1">
      <alignment horizontal="center" vertical="center" wrapText="1" shrinkToFit="1"/>
      <protection locked="0"/>
    </xf>
    <xf numFmtId="0" fontId="9" fillId="5" borderId="19" xfId="0" applyFont="1" applyFill="1" applyBorder="1" applyAlignment="1" applyProtection="1">
      <alignment horizontal="center" vertical="center" wrapText="1" shrinkToFit="1"/>
      <protection locked="0"/>
    </xf>
    <xf numFmtId="0" fontId="14" fillId="2" borderId="32"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5" fillId="0" borderId="43" xfId="0" applyFont="1" applyBorder="1" applyAlignment="1" applyProtection="1">
      <alignment horizontal="center" vertical="center" wrapText="1"/>
    </xf>
    <xf numFmtId="0" fontId="0" fillId="0" borderId="58" xfId="0" applyBorder="1" applyAlignment="1" applyProtection="1">
      <alignment horizontal="center" vertical="center"/>
    </xf>
    <xf numFmtId="0" fontId="14" fillId="2" borderId="26" xfId="0"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38" fontId="5" fillId="0" borderId="0" xfId="2" applyFont="1" applyBorder="1" applyAlignment="1" applyProtection="1">
      <alignment horizontal="right" vertical="center" shrinkToFit="1"/>
    </xf>
    <xf numFmtId="49" fontId="19" fillId="0" borderId="0" xfId="2" applyNumberFormat="1" applyFont="1" applyBorder="1" applyAlignment="1" applyProtection="1">
      <alignment horizontal="justify" vertical="justify" wrapText="1"/>
    </xf>
    <xf numFmtId="0" fontId="19" fillId="0" borderId="0" xfId="0" applyFont="1" applyBorder="1" applyAlignment="1" applyProtection="1">
      <alignment horizontal="justify" vertical="justify" wrapText="1"/>
    </xf>
    <xf numFmtId="0" fontId="13" fillId="6" borderId="51" xfId="0" applyFont="1" applyFill="1" applyBorder="1" applyAlignment="1" applyProtection="1">
      <alignment horizontal="center" vertical="center"/>
    </xf>
    <xf numFmtId="0" fontId="13" fillId="6" borderId="52" xfId="0" applyFont="1" applyFill="1" applyBorder="1" applyAlignment="1" applyProtection="1">
      <alignment horizontal="center" vertical="center"/>
    </xf>
    <xf numFmtId="0" fontId="13" fillId="6" borderId="53" xfId="0" applyFont="1" applyFill="1" applyBorder="1" applyAlignment="1" applyProtection="1">
      <alignment horizontal="center" vertical="center"/>
    </xf>
    <xf numFmtId="0" fontId="14" fillId="0" borderId="41"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185" fontId="5" fillId="5" borderId="44" xfId="0" applyNumberFormat="1" applyFont="1" applyFill="1" applyBorder="1" applyAlignment="1" applyProtection="1">
      <alignment horizontal="center" vertical="center"/>
      <protection locked="0"/>
    </xf>
    <xf numFmtId="0" fontId="5" fillId="0" borderId="68" xfId="0" applyFont="1" applyBorder="1" applyAlignment="1" applyProtection="1">
      <alignment horizontal="center" vertical="center"/>
    </xf>
    <xf numFmtId="0" fontId="5" fillId="0" borderId="69" xfId="0" applyFont="1" applyBorder="1" applyAlignment="1" applyProtection="1">
      <alignment horizontal="center" vertical="center"/>
    </xf>
    <xf numFmtId="0" fontId="14" fillId="0" borderId="70" xfId="0" applyFont="1" applyBorder="1" applyAlignment="1" applyProtection="1">
      <alignment horizontal="center" vertical="center" shrinkToFit="1"/>
    </xf>
    <xf numFmtId="0" fontId="14" fillId="0" borderId="71" xfId="0" applyFont="1" applyBorder="1" applyAlignment="1" applyProtection="1">
      <alignment horizontal="center" vertical="center" shrinkToFit="1"/>
    </xf>
    <xf numFmtId="0" fontId="14" fillId="0" borderId="72" xfId="0" applyFont="1" applyBorder="1" applyAlignment="1" applyProtection="1">
      <alignment horizontal="center" vertical="center" shrinkToFit="1"/>
    </xf>
    <xf numFmtId="38" fontId="5" fillId="0" borderId="0" xfId="2" applyFont="1" applyAlignment="1" applyProtection="1">
      <alignment horizontal="center" vertical="center"/>
    </xf>
    <xf numFmtId="0" fontId="5" fillId="0" borderId="0" xfId="0" applyFont="1" applyAlignment="1" applyProtection="1">
      <alignment horizontal="center" vertical="center"/>
    </xf>
    <xf numFmtId="0" fontId="7" fillId="0" borderId="15" xfId="0" applyFont="1" applyBorder="1" applyAlignment="1" applyProtection="1">
      <alignment horizontal="left" vertical="center"/>
    </xf>
    <xf numFmtId="178" fontId="11" fillId="0" borderId="0" xfId="0" applyNumberFormat="1" applyFont="1" applyBorder="1" applyAlignment="1" applyProtection="1">
      <alignment horizontal="center" vertical="center" shrinkToFit="1"/>
    </xf>
    <xf numFmtId="178" fontId="11" fillId="0" borderId="1" xfId="0" applyNumberFormat="1" applyFont="1" applyBorder="1" applyAlignment="1" applyProtection="1">
      <alignment horizontal="center" vertical="center" shrinkToFit="1"/>
    </xf>
    <xf numFmtId="38" fontId="5" fillId="0" borderId="0" xfId="2" applyFont="1" applyFill="1" applyBorder="1" applyAlignment="1" applyProtection="1">
      <alignment horizontal="left" vertical="justify" wrapText="1"/>
    </xf>
    <xf numFmtId="0" fontId="5" fillId="0" borderId="7" xfId="0" applyFont="1" applyBorder="1" applyAlignment="1" applyProtection="1">
      <alignment vertical="center"/>
    </xf>
    <xf numFmtId="0" fontId="5" fillId="0" borderId="0" xfId="0" applyFont="1" applyBorder="1" applyAlignment="1" applyProtection="1">
      <alignment horizontal="justify" vertical="justify"/>
    </xf>
    <xf numFmtId="0" fontId="0" fillId="0" borderId="0" xfId="0" applyBorder="1" applyAlignment="1" applyProtection="1">
      <alignment horizontal="justify" vertical="justify"/>
    </xf>
    <xf numFmtId="0" fontId="0" fillId="0" borderId="0" xfId="0" applyBorder="1" applyAlignment="1" applyProtection="1">
      <alignment horizontal="center" vertical="center" shrinkToFit="1"/>
    </xf>
    <xf numFmtId="0" fontId="13" fillId="6" borderId="65" xfId="0" applyFont="1" applyFill="1" applyBorder="1" applyAlignment="1" applyProtection="1">
      <alignment horizontal="center" vertical="center"/>
    </xf>
    <xf numFmtId="0" fontId="13" fillId="6" borderId="66" xfId="0" applyFont="1" applyFill="1" applyBorder="1" applyAlignment="1" applyProtection="1">
      <alignment horizontal="center" vertical="center"/>
    </xf>
    <xf numFmtId="0" fontId="13" fillId="6" borderId="67" xfId="0" applyFont="1" applyFill="1" applyBorder="1" applyAlignment="1" applyProtection="1">
      <alignment horizontal="center" vertical="center"/>
    </xf>
    <xf numFmtId="0" fontId="14" fillId="0" borderId="48" xfId="0" applyFont="1" applyBorder="1" applyAlignment="1" applyProtection="1">
      <alignment horizontal="center" vertical="center"/>
    </xf>
    <xf numFmtId="0" fontId="14" fillId="0" borderId="29" xfId="0" applyFont="1" applyBorder="1" applyAlignment="1" applyProtection="1">
      <alignment horizontal="center" vertical="center"/>
    </xf>
    <xf numFmtId="0" fontId="14" fillId="0" borderId="30" xfId="0" applyFont="1" applyBorder="1" applyAlignment="1" applyProtection="1">
      <alignment horizontal="center" vertical="center"/>
    </xf>
    <xf numFmtId="185" fontId="5" fillId="5" borderId="21" xfId="0" applyNumberFormat="1" applyFont="1" applyFill="1" applyBorder="1" applyAlignment="1" applyProtection="1">
      <alignment horizontal="center" vertical="center"/>
      <protection locked="0"/>
    </xf>
    <xf numFmtId="0" fontId="5" fillId="0" borderId="50" xfId="0" applyFont="1" applyBorder="1" applyAlignment="1" applyProtection="1">
      <alignment horizontal="center" vertical="center"/>
    </xf>
    <xf numFmtId="0" fontId="5" fillId="0" borderId="74" xfId="0" applyFont="1" applyBorder="1" applyAlignment="1" applyProtection="1">
      <alignment horizontal="center" vertical="center" wrapText="1"/>
    </xf>
    <xf numFmtId="0" fontId="5" fillId="0" borderId="75" xfId="0" applyFont="1" applyBorder="1" applyAlignment="1" applyProtection="1">
      <alignment horizontal="center" vertical="center" wrapText="1"/>
    </xf>
    <xf numFmtId="0" fontId="5" fillId="0" borderId="73" xfId="0" applyFont="1" applyBorder="1" applyAlignment="1" applyProtection="1">
      <alignment horizontal="center" vertical="center"/>
    </xf>
    <xf numFmtId="0" fontId="5" fillId="0" borderId="29" xfId="0" applyFont="1" applyBorder="1" applyAlignment="1" applyProtection="1">
      <alignment horizontal="center" vertical="center"/>
    </xf>
    <xf numFmtId="0" fontId="11" fillId="0" borderId="50" xfId="0" applyFont="1" applyBorder="1" applyAlignment="1" applyProtection="1">
      <alignment horizontal="center" vertical="center" wrapText="1" shrinkToFit="1"/>
    </xf>
    <xf numFmtId="0" fontId="11" fillId="0" borderId="62" xfId="0" applyFont="1" applyBorder="1" applyAlignment="1" applyProtection="1">
      <alignment horizontal="center" vertical="center" shrinkToFit="1"/>
    </xf>
    <xf numFmtId="185" fontId="5" fillId="5" borderId="20" xfId="0" applyNumberFormat="1"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xf>
    <xf numFmtId="0" fontId="5" fillId="4" borderId="61"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5" fillId="0" borderId="40" xfId="0" applyFont="1" applyBorder="1" applyAlignment="1" applyProtection="1">
      <alignment horizontal="center" vertical="center" shrinkToFit="1"/>
    </xf>
    <xf numFmtId="0" fontId="0" fillId="0" borderId="64" xfId="0" applyBorder="1" applyAlignment="1" applyProtection="1">
      <alignment vertical="center"/>
    </xf>
    <xf numFmtId="0" fontId="5" fillId="0" borderId="39" xfId="0" applyFont="1" applyBorder="1" applyAlignment="1" applyProtection="1">
      <alignment horizontal="center" vertical="center" shrinkToFit="1"/>
    </xf>
    <xf numFmtId="0" fontId="0" fillId="0" borderId="6" xfId="0" applyBorder="1" applyAlignment="1" applyProtection="1">
      <alignment vertical="center"/>
    </xf>
    <xf numFmtId="0" fontId="12" fillId="0" borderId="0" xfId="0" applyFont="1" applyBorder="1" applyAlignment="1" applyProtection="1">
      <alignment horizontal="center" vertical="center" shrinkToFit="1"/>
    </xf>
    <xf numFmtId="0" fontId="12" fillId="0" borderId="1" xfId="0" applyFont="1" applyBorder="1" applyAlignment="1" applyProtection="1">
      <alignment horizontal="center" vertical="center" shrinkToFit="1"/>
    </xf>
    <xf numFmtId="0" fontId="5" fillId="0" borderId="47" xfId="0" applyFont="1" applyBorder="1" applyAlignment="1" applyProtection="1">
      <alignment horizontal="left" vertical="center"/>
    </xf>
    <xf numFmtId="0" fontId="5" fillId="0" borderId="49" xfId="0" applyFont="1" applyBorder="1" applyAlignment="1" applyProtection="1">
      <alignment horizontal="left" vertical="center"/>
    </xf>
    <xf numFmtId="0" fontId="11" fillId="0" borderId="0" xfId="0" applyFont="1" applyBorder="1" applyAlignment="1" applyProtection="1">
      <alignment horizontal="left" vertical="center" shrinkToFit="1"/>
    </xf>
    <xf numFmtId="0" fontId="5" fillId="0" borderId="13" xfId="0" applyFont="1" applyBorder="1" applyAlignment="1" applyProtection="1">
      <alignment horizontal="left" vertical="center"/>
    </xf>
    <xf numFmtId="0" fontId="5" fillId="0" borderId="0" xfId="0" applyFont="1" applyBorder="1" applyAlignment="1" applyProtection="1">
      <alignment horizontal="left" vertical="center"/>
    </xf>
    <xf numFmtId="0" fontId="11" fillId="0" borderId="0" xfId="0" applyFont="1" applyBorder="1" applyAlignment="1" applyProtection="1">
      <alignment horizontal="center" vertical="center" shrinkToFit="1"/>
    </xf>
    <xf numFmtId="0" fontId="5" fillId="0" borderId="32"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5" fillId="0" borderId="26"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0" xfId="0" applyFont="1" applyBorder="1" applyAlignment="1" applyProtection="1">
      <alignment horizontal="justify" vertical="top" wrapText="1"/>
    </xf>
    <xf numFmtId="0" fontId="1" fillId="0" borderId="1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5" fillId="0" borderId="10" xfId="0" applyFont="1" applyBorder="1" applyAlignment="1" applyProtection="1">
      <alignment horizontal="center" vertical="center"/>
    </xf>
    <xf numFmtId="0" fontId="5" fillId="0" borderId="32"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0" borderId="0" xfId="0" applyFont="1" applyBorder="1" applyAlignment="1" applyProtection="1">
      <alignment horizontal="justify" vertical="justify" wrapText="1"/>
    </xf>
    <xf numFmtId="0" fontId="1" fillId="0" borderId="0" xfId="0" applyFont="1" applyFill="1" applyBorder="1" applyAlignment="1" applyProtection="1">
      <alignment horizontal="justify" vertical="top" wrapText="1"/>
    </xf>
    <xf numFmtId="0" fontId="5" fillId="0" borderId="0" xfId="0" applyFont="1" applyBorder="1" applyAlignment="1" applyProtection="1">
      <alignment horizontal="left" vertical="top" wrapText="1"/>
    </xf>
    <xf numFmtId="0" fontId="5" fillId="0" borderId="0" xfId="0" applyFont="1" applyBorder="1" applyAlignment="1" applyProtection="1">
      <alignment horizontal="center" vertical="top"/>
    </xf>
    <xf numFmtId="0" fontId="11" fillId="0" borderId="1"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0" fillId="0" borderId="1" xfId="0" applyBorder="1" applyAlignment="1" applyProtection="1">
      <alignment vertical="center" shrinkToFit="1"/>
    </xf>
    <xf numFmtId="0" fontId="12" fillId="0" borderId="0" xfId="0" applyFont="1" applyBorder="1" applyAlignment="1" applyProtection="1">
      <alignment horizontal="left" vertical="center"/>
    </xf>
    <xf numFmtId="0" fontId="12" fillId="0" borderId="1" xfId="0" applyFont="1" applyBorder="1" applyAlignment="1" applyProtection="1">
      <alignment horizontal="left" vertical="center"/>
    </xf>
    <xf numFmtId="0" fontId="5" fillId="0" borderId="15"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62" xfId="0" applyFont="1" applyBorder="1" applyAlignment="1" applyProtection="1">
      <alignment horizontal="center" vertical="center" shrinkToFit="1"/>
    </xf>
    <xf numFmtId="185" fontId="5" fillId="5" borderId="14"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justify"/>
    </xf>
    <xf numFmtId="0" fontId="18" fillId="0" borderId="0" xfId="0" applyFont="1" applyBorder="1" applyAlignment="1" applyProtection="1">
      <alignment horizontal="right" vertical="justify"/>
    </xf>
    <xf numFmtId="0" fontId="18" fillId="0" borderId="11" xfId="0" applyFont="1" applyBorder="1" applyAlignment="1" applyProtection="1">
      <alignment horizontal="right" vertical="justify"/>
    </xf>
    <xf numFmtId="0" fontId="19" fillId="0" borderId="0" xfId="0" applyFont="1" applyBorder="1" applyAlignment="1" applyProtection="1">
      <alignment horizontal="left" vertical="top" wrapText="1"/>
    </xf>
    <xf numFmtId="0" fontId="11" fillId="0" borderId="0" xfId="0" applyFont="1" applyBorder="1" applyAlignment="1" applyProtection="1">
      <alignment vertical="center" shrinkToFit="1"/>
    </xf>
    <xf numFmtId="0" fontId="12" fillId="0" borderId="0"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1" fillId="0" borderId="1" xfId="0" applyFont="1" applyBorder="1" applyAlignment="1" applyProtection="1">
      <alignment horizontal="left" vertical="center" shrinkToFit="1"/>
    </xf>
    <xf numFmtId="0" fontId="5" fillId="0" borderId="0" xfId="0" applyFont="1" applyBorder="1" applyAlignment="1" applyProtection="1">
      <alignment horizontal="center" vertical="justify"/>
    </xf>
    <xf numFmtId="38" fontId="5" fillId="0" borderId="0" xfId="2" applyFont="1" applyBorder="1" applyAlignment="1" applyProtection="1">
      <alignment horizontal="left" vertical="center" wrapText="1"/>
    </xf>
    <xf numFmtId="182" fontId="7" fillId="0" borderId="10" xfId="0" applyNumberFormat="1" applyFont="1" applyBorder="1" applyAlignment="1" applyProtection="1">
      <alignment horizontal="center" vertical="center"/>
    </xf>
  </cellXfs>
  <cellStyles count="3">
    <cellStyle name="パーセント" xfId="1" builtinId="5"/>
    <cellStyle name="桁区切り" xfId="2" builtinId="6"/>
    <cellStyle name="標準" xfId="0" builtinId="0"/>
  </cellStyles>
  <dxfs count="25">
    <dxf>
      <fill>
        <patternFill>
          <bgColor rgb="FFFFFF00"/>
        </patternFill>
      </fill>
    </dxf>
    <dxf>
      <fill>
        <patternFill>
          <bgColor rgb="FFFFFF00"/>
        </patternFill>
      </fill>
    </dxf>
    <dxf>
      <font>
        <color theme="9" tint="-0.24994659260841701"/>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name val="ＭＳ Ｐゴシック"/>
        <scheme val="none"/>
      </font>
    </dxf>
    <dxf>
      <font>
        <color rgb="FFFF0000"/>
      </font>
    </dxf>
    <dxf>
      <font>
        <color rgb="FFFF0000"/>
      </font>
    </dxf>
    <dxf>
      <font>
        <color rgb="FFFF0000"/>
      </font>
    </dxf>
    <dxf>
      <font>
        <color rgb="FFFF0000"/>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ill>
        <patternFill>
          <bgColor rgb="FFCCFFFF"/>
        </patternFill>
      </fill>
      <border>
        <left style="thin">
          <color indexed="64"/>
        </left>
      </border>
    </dxf>
    <dxf>
      <fill>
        <patternFill>
          <bgColor indexed="41"/>
        </patternFill>
      </fill>
    </dxf>
    <dxf>
      <fill>
        <patternFill>
          <bgColor rgb="FFCCFFFF"/>
        </patternFill>
      </fill>
    </dxf>
    <dxf>
      <fill>
        <patternFill>
          <bgColor rgb="FFCCFFFF"/>
        </patternFill>
      </fill>
    </dxf>
    <dxf>
      <fill>
        <patternFill>
          <bgColor indexed="41"/>
        </patternFill>
      </fill>
    </dxf>
    <dxf>
      <fill>
        <patternFill>
          <bgColor rgb="FFCCFFFF"/>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16.emf"/><Relationship Id="rId5" Type="http://schemas.openxmlformats.org/officeDocument/2006/relationships/image" Target="../media/image15.emf"/><Relationship Id="rId4"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23.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7.emf"/><Relationship Id="rId6" Type="http://schemas.openxmlformats.org/officeDocument/2006/relationships/image" Target="../media/image22.emf"/><Relationship Id="rId5" Type="http://schemas.openxmlformats.org/officeDocument/2006/relationships/image" Target="../media/image21.emf"/><Relationship Id="rId4"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4</xdr:col>
      <xdr:colOff>590550</xdr:colOff>
      <xdr:row>55</xdr:row>
      <xdr:rowOff>57150</xdr:rowOff>
    </xdr:to>
    <xdr:pic>
      <xdr:nvPicPr>
        <xdr:cNvPr id="7430"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8353425"/>
          <a:ext cx="2581275" cy="18383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5</xdr:col>
      <xdr:colOff>114300</xdr:colOff>
      <xdr:row>45</xdr:row>
      <xdr:rowOff>0</xdr:rowOff>
    </xdr:from>
    <xdr:to>
      <xdr:col>9</xdr:col>
      <xdr:colOff>66675</xdr:colOff>
      <xdr:row>55</xdr:row>
      <xdr:rowOff>57150</xdr:rowOff>
    </xdr:to>
    <xdr:pic>
      <xdr:nvPicPr>
        <xdr:cNvPr id="7431"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8353425"/>
          <a:ext cx="2581275" cy="1838325"/>
        </a:xfrm>
        <a:prstGeom prst="rect">
          <a:avLst/>
        </a:prstGeom>
        <a:solidFill>
          <a:srgbClr val="00B0F0">
            <a:alpha val="61176"/>
          </a:srgbClr>
        </a:solidFill>
        <a:ln w="3175">
          <a:solidFill>
            <a:srgbClr val="000000"/>
          </a:solidFill>
          <a:miter lim="800000"/>
          <a:headEnd/>
          <a:tailEnd/>
        </a:ln>
      </xdr:spPr>
    </xdr:pic>
    <xdr:clientData fLocksWithSheet="0"/>
  </xdr:twoCellAnchor>
  <xdr:oneCellAnchor>
    <xdr:from>
      <xdr:col>0</xdr:col>
      <xdr:colOff>754380</xdr:colOff>
      <xdr:row>17</xdr:row>
      <xdr:rowOff>28575</xdr:rowOff>
    </xdr:from>
    <xdr:ext cx="1501140" cy="444032"/>
    <mc:AlternateContent xmlns:mc="http://schemas.openxmlformats.org/markup-compatibility/2006" xmlns:a14="http://schemas.microsoft.com/office/drawing/2010/main">
      <mc:Choice Requires="a14">
        <xdr:sp macro="" textlink="">
          <xdr:nvSpPr>
            <xdr:cNvPr id="2" name="テキスト ボックス 1"/>
            <xdr:cNvSpPr txBox="1"/>
          </xdr:nvSpPr>
          <xdr:spPr>
            <a:xfrm>
              <a:off x="754380" y="3575685"/>
              <a:ext cx="1501140" cy="444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𝜀</m:t>
                        </m:r>
                      </m:e>
                      <m:sub>
                        <m:r>
                          <m:rPr>
                            <m:sty m:val="p"/>
                          </m:rPr>
                          <a:rPr lang="en-US" altLang="ja-JP" sz="1000">
                            <a:solidFill>
                              <a:schemeClr val="tx1"/>
                            </a:solidFill>
                            <a:effectLst/>
                            <a:latin typeface="Cambria Math"/>
                            <a:ea typeface="+mn-ea"/>
                            <a:cs typeface="+mn-cs"/>
                          </a:rPr>
                          <m:t>p</m:t>
                        </m:r>
                      </m:sub>
                    </m:sSub>
                    <m:r>
                      <a:rPr lang="en-US" altLang="ja-JP" sz="1000">
                        <a:solidFill>
                          <a:schemeClr val="tx1"/>
                        </a:solidFill>
                        <a:effectLst/>
                        <a:latin typeface="Cambria Math"/>
                        <a:ea typeface="+mn-ea"/>
                        <a:cs typeface="+mn-cs"/>
                      </a:rPr>
                      <m:t>=</m:t>
                    </m:r>
                    <m:d>
                      <m:dPr>
                        <m:ctrlPr>
                          <a:rPr lang="ja-JP" altLang="ja-JP" sz="1000" i="1">
                            <a:solidFill>
                              <a:schemeClr val="tx1"/>
                            </a:solidFill>
                            <a:effectLst/>
                            <a:latin typeface="Cambria Math"/>
                            <a:ea typeface="+mn-ea"/>
                            <a:cs typeface="+mn-cs"/>
                          </a:rPr>
                        </m:ctrlPr>
                      </m:dPr>
                      <m:e>
                        <m:f>
                          <m:fPr>
                            <m:ctrlPr>
                              <a:rPr lang="ja-JP" altLang="ja-JP" sz="1000" i="1">
                                <a:solidFill>
                                  <a:schemeClr val="tx1"/>
                                </a:solidFill>
                                <a:effectLst/>
                                <a:latin typeface="Cambria Math"/>
                                <a:ea typeface="+mn-ea"/>
                                <a:cs typeface="+mn-cs"/>
                              </a:rPr>
                            </m:ctrlPr>
                          </m:fPr>
                          <m:num>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𝑝</m:t>
                                </m:r>
                              </m:e>
                              <m:sub>
                                <m:r>
                                  <m:rPr>
                                    <m:sty m:val="p"/>
                                  </m:rPr>
                                  <a:rPr lang="en-US" altLang="ja-JP" sz="1000">
                                    <a:solidFill>
                                      <a:schemeClr val="tx1"/>
                                    </a:solidFill>
                                    <a:effectLst/>
                                    <a:latin typeface="Cambria Math"/>
                                    <a:ea typeface="+mn-ea"/>
                                    <a:cs typeface="+mn-cs"/>
                                  </a:rPr>
                                  <m:t>x</m:t>
                                </m:r>
                              </m:sub>
                            </m:sSub>
                          </m:num>
                          <m:den>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𝑝</m:t>
                                </m:r>
                              </m:e>
                              <m:sub>
                                <m:r>
                                  <a:rPr lang="en-US" altLang="ja-JP" sz="1000" i="1">
                                    <a:solidFill>
                                      <a:schemeClr val="tx1"/>
                                    </a:solidFill>
                                    <a:effectLst/>
                                    <a:latin typeface="Cambria Math"/>
                                    <a:ea typeface="+mn-ea"/>
                                    <a:cs typeface="+mn-cs"/>
                                  </a:rPr>
                                  <m:t>𝑟</m:t>
                                </m:r>
                              </m:sub>
                            </m:sSub>
                          </m:den>
                        </m:f>
                        <m:r>
                          <a:rPr lang="en-US" altLang="ja-JP" sz="1000" i="1">
                            <a:solidFill>
                              <a:schemeClr val="tx1"/>
                            </a:solidFill>
                            <a:effectLst/>
                            <a:latin typeface="Cambria Math"/>
                            <a:ea typeface="+mn-ea"/>
                            <a:cs typeface="+mn-cs"/>
                          </a:rPr>
                          <m:t>−1</m:t>
                        </m:r>
                      </m:e>
                    </m:d>
                    <m:r>
                      <a:rPr lang="ja-JP" altLang="ja-JP" sz="1000">
                        <a:solidFill>
                          <a:schemeClr val="tx1"/>
                        </a:solidFill>
                        <a:effectLst/>
                        <a:latin typeface="Cambria Math"/>
                        <a:ea typeface="+mn-ea"/>
                        <a:cs typeface="+mn-cs"/>
                      </a:rPr>
                      <m:t>×</m:t>
                    </m:r>
                    <m:r>
                      <a:rPr lang="en-US" altLang="ja-JP" sz="1000">
                        <a:solidFill>
                          <a:schemeClr val="tx1"/>
                        </a:solidFill>
                        <a:effectLst/>
                        <a:latin typeface="Cambria Math"/>
                        <a:ea typeface="+mn-ea"/>
                        <a:cs typeface="+mn-cs"/>
                      </a:rPr>
                      <m:t>100</m:t>
                    </m:r>
                  </m:oMath>
                </m:oMathPara>
              </a14:m>
              <a:endParaRPr kumimoji="1" lang="ja-JP" altLang="en-US" sz="1000"/>
            </a:p>
          </xdr:txBody>
        </xdr:sp>
      </mc:Choice>
      <mc:Fallback xmlns="">
        <xdr:sp macro="" textlink="">
          <xdr:nvSpPr>
            <xdr:cNvPr id="2" name="テキスト ボックス 1"/>
            <xdr:cNvSpPr txBox="1"/>
          </xdr:nvSpPr>
          <xdr:spPr>
            <a:xfrm>
              <a:off x="754380" y="3575685"/>
              <a:ext cx="1501140" cy="444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000" i="0">
                  <a:solidFill>
                    <a:schemeClr val="tx1"/>
                  </a:solidFill>
                  <a:effectLst/>
                  <a:latin typeface="+mn-lt"/>
                  <a:ea typeface="+mn-ea"/>
                  <a:cs typeface="+mn-cs"/>
                </a:rPr>
                <a:t>𝜀</a:t>
              </a:r>
              <a:r>
                <a:rPr lang="ja-JP" altLang="ja-JP" sz="1000" i="0">
                  <a:solidFill>
                    <a:schemeClr val="tx1"/>
                  </a:solidFill>
                  <a:effectLst/>
                  <a:latin typeface="+mn-lt"/>
                  <a:ea typeface="+mn-ea"/>
                  <a:cs typeface="+mn-cs"/>
                </a:rPr>
                <a:t>_</a:t>
              </a:r>
              <a:r>
                <a:rPr lang="en-US" altLang="ja-JP" sz="1000" i="0">
                  <a:solidFill>
                    <a:schemeClr val="tx1"/>
                  </a:solidFill>
                  <a:effectLst/>
                  <a:latin typeface="+mn-lt"/>
                  <a:ea typeface="+mn-ea"/>
                  <a:cs typeface="+mn-cs"/>
                </a:rPr>
                <a:t>p=</a:t>
              </a:r>
              <a:r>
                <a:rPr lang="ja-JP" altLang="ja-JP" sz="1000" i="0">
                  <a:solidFill>
                    <a:schemeClr val="tx1"/>
                  </a:solidFill>
                  <a:effectLst/>
                  <a:latin typeface="+mn-lt"/>
                  <a:ea typeface="+mn-ea"/>
                  <a:cs typeface="+mn-cs"/>
                </a:rPr>
                <a:t>(</a:t>
              </a:r>
              <a:r>
                <a:rPr lang="en-US" altLang="ja-JP" sz="1000" i="0">
                  <a:solidFill>
                    <a:schemeClr val="tx1"/>
                  </a:solidFill>
                  <a:effectLst/>
                  <a:latin typeface="+mn-lt"/>
                  <a:ea typeface="+mn-ea"/>
                  <a:cs typeface="+mn-cs"/>
                </a:rPr>
                <a:t>𝑝</a:t>
              </a:r>
              <a:r>
                <a:rPr lang="ja-JP" altLang="ja-JP" sz="1000" i="0">
                  <a:solidFill>
                    <a:schemeClr val="tx1"/>
                  </a:solidFill>
                  <a:effectLst/>
                  <a:latin typeface="+mn-lt"/>
                  <a:ea typeface="+mn-ea"/>
                  <a:cs typeface="+mn-cs"/>
                </a:rPr>
                <a:t>_</a:t>
              </a:r>
              <a:r>
                <a:rPr lang="en-US" altLang="ja-JP" sz="1000" i="0">
                  <a:solidFill>
                    <a:schemeClr val="tx1"/>
                  </a:solidFill>
                  <a:effectLst/>
                  <a:latin typeface="+mn-lt"/>
                  <a:ea typeface="+mn-ea"/>
                  <a:cs typeface="+mn-cs"/>
                </a:rPr>
                <a:t>x</a:t>
              </a:r>
              <a:r>
                <a:rPr lang="ja-JP" altLang="ja-JP" sz="1000" i="0">
                  <a:solidFill>
                    <a:schemeClr val="tx1"/>
                  </a:solidFill>
                  <a:effectLst/>
                  <a:latin typeface="+mn-lt"/>
                  <a:ea typeface="+mn-ea"/>
                  <a:cs typeface="+mn-cs"/>
                </a:rPr>
                <a:t>/</a:t>
              </a:r>
              <a:r>
                <a:rPr lang="en-US" altLang="ja-JP" sz="1000" i="0">
                  <a:solidFill>
                    <a:schemeClr val="tx1"/>
                  </a:solidFill>
                  <a:effectLst/>
                  <a:latin typeface="+mn-lt"/>
                  <a:ea typeface="+mn-ea"/>
                  <a:cs typeface="+mn-cs"/>
                </a:rPr>
                <a:t>𝑝</a:t>
              </a:r>
              <a:r>
                <a:rPr lang="ja-JP" altLang="ja-JP" sz="1000" i="0">
                  <a:solidFill>
                    <a:schemeClr val="tx1"/>
                  </a:solidFill>
                  <a:effectLst/>
                  <a:latin typeface="+mn-lt"/>
                  <a:ea typeface="+mn-ea"/>
                  <a:cs typeface="+mn-cs"/>
                </a:rPr>
                <a:t>_</a:t>
              </a:r>
              <a:r>
                <a:rPr lang="en-US" altLang="ja-JP" sz="1000" i="0">
                  <a:solidFill>
                    <a:schemeClr val="tx1"/>
                  </a:solidFill>
                  <a:effectLst/>
                  <a:latin typeface="+mn-lt"/>
                  <a:ea typeface="+mn-ea"/>
                  <a:cs typeface="+mn-cs"/>
                </a:rPr>
                <a:t>𝑟 −1)</a:t>
              </a:r>
              <a:r>
                <a:rPr lang="ja-JP" altLang="ja-JP" sz="1000" i="0">
                  <a:solidFill>
                    <a:schemeClr val="tx1"/>
                  </a:solidFill>
                  <a:effectLst/>
                  <a:latin typeface="+mn-lt"/>
                  <a:ea typeface="+mn-ea"/>
                  <a:cs typeface="+mn-cs"/>
                </a:rPr>
                <a:t>×</a:t>
              </a:r>
              <a:r>
                <a:rPr lang="en-US" altLang="ja-JP" sz="1000" i="0">
                  <a:solidFill>
                    <a:schemeClr val="tx1"/>
                  </a:solidFill>
                  <a:effectLst/>
                  <a:latin typeface="+mn-lt"/>
                  <a:ea typeface="+mn-ea"/>
                  <a:cs typeface="+mn-cs"/>
                </a:rPr>
                <a:t>100</a:t>
              </a:r>
              <a:endParaRPr kumimoji="1" lang="ja-JP" altLang="en-US" sz="10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3</xdr:col>
      <xdr:colOff>1023490</xdr:colOff>
      <xdr:row>31</xdr:row>
      <xdr:rowOff>203049</xdr:rowOff>
    </xdr:from>
    <xdr:ext cx="914400" cy="248851"/>
    <mc:AlternateContent xmlns:mc="http://schemas.openxmlformats.org/markup-compatibility/2006" xmlns:a14="http://schemas.microsoft.com/office/drawing/2010/main">
      <mc:Choice Requires="a14">
        <xdr:sp macro="" textlink="">
          <xdr:nvSpPr>
            <xdr:cNvPr id="2" name="テキスト ボックス 1"/>
            <xdr:cNvSpPr txBox="1"/>
          </xdr:nvSpPr>
          <xdr:spPr>
            <a:xfrm>
              <a:off x="2280790" y="6841974"/>
              <a:ext cx="9144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m:rPr>
                            <m:sty m:val="p"/>
                          </m:rPr>
                          <a:rPr lang="en-US" altLang="ja-JP" sz="1000">
                            <a:solidFill>
                              <a:schemeClr val="tx1"/>
                            </a:solidFill>
                            <a:effectLst/>
                            <a:latin typeface="Cambria Math"/>
                            <a:ea typeface="+mn-ea"/>
                            <a:cs typeface="+mn-cs"/>
                          </a:rPr>
                          <m:t>s</m:t>
                        </m:r>
                      </m:sub>
                    </m:sSub>
                    <m:r>
                      <a:rPr lang="en-US" altLang="ja-JP" sz="1000" i="1">
                        <a:solidFill>
                          <a:schemeClr val="tx1"/>
                        </a:solidFill>
                        <a:effectLst/>
                        <a:latin typeface="Cambria Math"/>
                        <a:ea typeface="+mn-ea"/>
                        <a:cs typeface="+mn-cs"/>
                      </a:rPr>
                      <m:t>=</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a:rPr lang="en-US" altLang="ja-JP" sz="1000">
                            <a:solidFill>
                              <a:schemeClr val="tx1"/>
                            </a:solidFill>
                            <a:effectLst/>
                            <a:latin typeface="Cambria Math"/>
                            <a:ea typeface="+mn-ea"/>
                            <a:cs typeface="+mn-cs"/>
                          </a:rPr>
                          <m:t>1</m:t>
                        </m:r>
                      </m:sub>
                    </m:sSub>
                  </m:oMath>
                </m:oMathPara>
              </a14:m>
              <a:endParaRPr kumimoji="1" lang="ja-JP" altLang="en-US" sz="1000"/>
            </a:p>
          </xdr:txBody>
        </xdr:sp>
      </mc:Choice>
      <mc:Fallback xmlns="">
        <xdr:sp macro="" textlink="">
          <xdr:nvSpPr>
            <xdr:cNvPr id="2" name="テキスト ボックス 1"/>
            <xdr:cNvSpPr txBox="1"/>
          </xdr:nvSpPr>
          <xdr:spPr>
            <a:xfrm>
              <a:off x="2280790" y="6841974"/>
              <a:ext cx="91440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altLang="ja-JP" sz="1000" i="0">
                  <a:solidFill>
                    <a:schemeClr val="tx1"/>
                  </a:solidFill>
                  <a:effectLst/>
                  <a:latin typeface="Cambria Math"/>
                  <a:ea typeface="+mn-ea"/>
                  <a:cs typeface="+mn-cs"/>
                </a:rPr>
                <a:t>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s=𝑇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1</a:t>
              </a:r>
              <a:endParaRPr kumimoji="1" lang="ja-JP" altLang="en-US" sz="1000"/>
            </a:p>
          </xdr:txBody>
        </xdr:sp>
      </mc:Fallback>
    </mc:AlternateContent>
    <xdr:clientData/>
  </xdr:oneCellAnchor>
  <xdr:oneCellAnchor>
    <xdr:from>
      <xdr:col>3</xdr:col>
      <xdr:colOff>1186273</xdr:colOff>
      <xdr:row>40</xdr:row>
      <xdr:rowOff>68839</xdr:rowOff>
    </xdr:from>
    <xdr:ext cx="1769052" cy="423129"/>
    <mc:AlternateContent xmlns:mc="http://schemas.openxmlformats.org/markup-compatibility/2006" xmlns:a14="http://schemas.microsoft.com/office/drawing/2010/main">
      <mc:Choice Requires="a14">
        <xdr:sp macro="" textlink="">
          <xdr:nvSpPr>
            <xdr:cNvPr id="5" name="テキスト ボックス 4"/>
            <xdr:cNvSpPr txBox="1"/>
          </xdr:nvSpPr>
          <xdr:spPr>
            <a:xfrm>
              <a:off x="2446171" y="8156430"/>
              <a:ext cx="1769052" cy="423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m:rPr>
                            <m:sty m:val="p"/>
                          </m:rPr>
                          <a:rPr lang="en-US" altLang="ja-JP" sz="1000">
                            <a:solidFill>
                              <a:schemeClr val="tx1"/>
                            </a:solidFill>
                            <a:effectLst/>
                            <a:latin typeface="Cambria Math"/>
                            <a:ea typeface="+mn-ea"/>
                            <a:cs typeface="+mn-cs"/>
                          </a:rPr>
                          <m:t>s</m:t>
                        </m:r>
                      </m:sub>
                    </m:sSub>
                    <m:r>
                      <a:rPr lang="en-US" altLang="ja-JP" sz="1000" i="1">
                        <a:solidFill>
                          <a:schemeClr val="tx1"/>
                        </a:solidFill>
                        <a:effectLst/>
                        <a:latin typeface="Cambria Math"/>
                        <a:ea typeface="+mn-ea"/>
                        <a:cs typeface="+mn-cs"/>
                      </a:rPr>
                      <m:t>=</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a:rPr lang="en-US" altLang="ja-JP" sz="1000">
                            <a:solidFill>
                              <a:schemeClr val="tx1"/>
                            </a:solidFill>
                            <a:effectLst/>
                            <a:latin typeface="Cambria Math"/>
                            <a:ea typeface="+mn-ea"/>
                            <a:cs typeface="+mn-cs"/>
                          </a:rPr>
                          <m:t>4</m:t>
                        </m:r>
                      </m:sub>
                    </m:sSub>
                    <m:r>
                      <a:rPr lang="en-US" altLang="ja-JP" sz="1000" i="1">
                        <a:solidFill>
                          <a:schemeClr val="tx1"/>
                        </a:solidFill>
                        <a:effectLst/>
                        <a:latin typeface="Cambria Math"/>
                        <a:ea typeface="+mn-ea"/>
                        <a:cs typeface="+mn-cs"/>
                      </a:rPr>
                      <m:t>+</m:t>
                    </m:r>
                    <m:f>
                      <m:fPr>
                        <m:ctrlPr>
                          <a:rPr lang="ja-JP" altLang="ja-JP" sz="1000" i="1">
                            <a:solidFill>
                              <a:schemeClr val="tx1"/>
                            </a:solidFill>
                            <a:effectLst/>
                            <a:latin typeface="Cambria Math"/>
                            <a:ea typeface="+mn-ea"/>
                            <a:cs typeface="+mn-cs"/>
                          </a:rPr>
                        </m:ctrlPr>
                      </m:fPr>
                      <m:num>
                        <m:r>
                          <a:rPr lang="en-US" altLang="ja-JP" sz="1000">
                            <a:solidFill>
                              <a:schemeClr val="tx1"/>
                            </a:solidFill>
                            <a:effectLst/>
                            <a:latin typeface="Cambria Math"/>
                            <a:ea typeface="+mn-ea"/>
                            <a:cs typeface="+mn-cs"/>
                          </a:rPr>
                          <m:t>80</m:t>
                        </m:r>
                        <m:r>
                          <a:rPr lang="en-US" altLang="ja-JP" sz="1000" i="1">
                            <a:solidFill>
                              <a:schemeClr val="tx1"/>
                            </a:solidFill>
                            <a:effectLst/>
                            <a:latin typeface="Cambria Math"/>
                            <a:ea typeface="+mn-ea"/>
                            <a:cs typeface="+mn-cs"/>
                          </a:rPr>
                          <m:t>−</m:t>
                        </m:r>
                        <m:r>
                          <a:rPr lang="en-US" altLang="ja-JP" sz="1000">
                            <a:solidFill>
                              <a:schemeClr val="tx1"/>
                            </a:solidFill>
                            <a:effectLst/>
                            <a:latin typeface="Cambria Math"/>
                            <a:ea typeface="+mn-ea"/>
                            <a:cs typeface="+mn-cs"/>
                          </a:rPr>
                          <m:t>20</m:t>
                        </m:r>
                      </m:num>
                      <m:den>
                        <m:r>
                          <a:rPr lang="en-US" altLang="ja-JP" sz="1000">
                            <a:solidFill>
                              <a:schemeClr val="tx1"/>
                            </a:solidFill>
                            <a:effectLst/>
                            <a:latin typeface="Cambria Math"/>
                            <a:ea typeface="+mn-ea"/>
                            <a:cs typeface="+mn-cs"/>
                          </a:rPr>
                          <m:t>80</m:t>
                        </m:r>
                        <m:r>
                          <a:rPr lang="en-US" altLang="ja-JP" sz="1000" i="1">
                            <a:solidFill>
                              <a:schemeClr val="tx1"/>
                            </a:solidFill>
                            <a:effectLst/>
                            <a:latin typeface="Cambria Math"/>
                            <a:ea typeface="+mn-ea"/>
                            <a:cs typeface="+mn-cs"/>
                          </a:rPr>
                          <m:t>−</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s</m:t>
                            </m:r>
                          </m:sub>
                        </m:sSub>
                      </m:den>
                    </m:f>
                  </m:oMath>
                </m:oMathPara>
              </a14:m>
              <a:endParaRPr kumimoji="1" lang="ja-JP" altLang="en-US" sz="1000"/>
            </a:p>
          </xdr:txBody>
        </xdr:sp>
      </mc:Choice>
      <mc:Fallback xmlns="">
        <xdr:sp macro="" textlink="">
          <xdr:nvSpPr>
            <xdr:cNvPr id="5" name="テキスト ボックス 4"/>
            <xdr:cNvSpPr txBox="1"/>
          </xdr:nvSpPr>
          <xdr:spPr>
            <a:xfrm>
              <a:off x="2446171" y="8156430"/>
              <a:ext cx="1769052" cy="423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000" i="0">
                  <a:solidFill>
                    <a:schemeClr val="tx1"/>
                  </a:solidFill>
                  <a:effectLst/>
                  <a:latin typeface="Cambria Math"/>
                  <a:ea typeface="+mn-ea"/>
                  <a:cs typeface="+mn-cs"/>
                </a:rPr>
                <a:t>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s=𝑇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4+</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80−20</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80−𝜃</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s </a:t>
              </a:r>
              <a:r>
                <a:rPr lang="ja-JP" altLang="ja-JP" sz="1000" i="0">
                  <a:solidFill>
                    <a:schemeClr val="tx1"/>
                  </a:solidFill>
                  <a:effectLst/>
                  <a:latin typeface="Cambria Math"/>
                  <a:ea typeface="+mn-ea"/>
                  <a:cs typeface="+mn-cs"/>
                </a:rPr>
                <a:t>)</a:t>
              </a:r>
              <a:endParaRPr kumimoji="1" lang="ja-JP" altLang="en-US" sz="1000"/>
            </a:p>
          </xdr:txBody>
        </xdr:sp>
      </mc:Fallback>
    </mc:AlternateContent>
    <xdr:clientData/>
  </xdr:oneCellAnchor>
  <xdr:oneCellAnchor>
    <xdr:from>
      <xdr:col>13</xdr:col>
      <xdr:colOff>685799</xdr:colOff>
      <xdr:row>21</xdr:row>
      <xdr:rowOff>0</xdr:rowOff>
    </xdr:from>
    <xdr:ext cx="1571625" cy="416909"/>
    <mc:AlternateContent xmlns:mc="http://schemas.openxmlformats.org/markup-compatibility/2006" xmlns:a14="http://schemas.microsoft.com/office/drawing/2010/main">
      <mc:Choice Requires="a14">
        <xdr:sp macro="" textlink="">
          <xdr:nvSpPr>
            <xdr:cNvPr id="9" name="テキスト ボックス 8"/>
            <xdr:cNvSpPr txBox="1"/>
          </xdr:nvSpPr>
          <xdr:spPr>
            <a:xfrm>
              <a:off x="8162924" y="4533900"/>
              <a:ext cx="1571625" cy="416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m:rPr>
                            <m:sty m:val="p"/>
                          </m:rPr>
                          <a:rPr lang="en-US" altLang="ja-JP" sz="1000">
                            <a:solidFill>
                              <a:schemeClr val="tx1"/>
                            </a:solidFill>
                            <a:effectLst/>
                            <a:latin typeface="Cambria Math"/>
                            <a:ea typeface="+mn-ea"/>
                            <a:cs typeface="+mn-cs"/>
                          </a:rPr>
                          <m:t>s</m:t>
                        </m:r>
                      </m:sub>
                    </m:sSub>
                    <m:r>
                      <a:rPr lang="en-US" altLang="ja-JP" sz="1000" i="1">
                        <a:solidFill>
                          <a:schemeClr val="tx1"/>
                        </a:solidFill>
                        <a:effectLst/>
                        <a:latin typeface="Cambria Math"/>
                        <a:ea typeface="+mn-ea"/>
                        <a:cs typeface="+mn-cs"/>
                      </a:rPr>
                      <m:t>=</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a:rPr lang="en-US" altLang="ja-JP" sz="1000">
                            <a:solidFill>
                              <a:schemeClr val="tx1"/>
                            </a:solidFill>
                            <a:effectLst/>
                            <a:latin typeface="Cambria Math"/>
                            <a:ea typeface="+mn-ea"/>
                            <a:cs typeface="+mn-cs"/>
                          </a:rPr>
                          <m:t>2</m:t>
                        </m:r>
                      </m:sub>
                    </m:sSub>
                    <m:r>
                      <a:rPr lang="en-US" altLang="ja-JP" sz="1000" i="1">
                        <a:solidFill>
                          <a:schemeClr val="tx1"/>
                        </a:solidFill>
                        <a:effectLst/>
                        <a:latin typeface="Cambria Math"/>
                        <a:ea typeface="+mn-ea"/>
                        <a:cs typeface="+mn-cs"/>
                      </a:rPr>
                      <m:t>+</m:t>
                    </m:r>
                    <m:f>
                      <m:fPr>
                        <m:ctrlPr>
                          <a:rPr lang="ja-JP" altLang="ja-JP" sz="1000" i="1">
                            <a:solidFill>
                              <a:schemeClr val="tx1"/>
                            </a:solidFill>
                            <a:effectLst/>
                            <a:latin typeface="Cambria Math"/>
                            <a:ea typeface="+mn-ea"/>
                            <a:cs typeface="+mn-cs"/>
                          </a:rPr>
                        </m:ctrlPr>
                      </m:fPr>
                      <m:num>
                        <m:r>
                          <a:rPr lang="en-US" altLang="ja-JP" sz="1000" i="1">
                            <a:solidFill>
                              <a:schemeClr val="tx1"/>
                            </a:solidFill>
                            <a:effectLst/>
                            <a:latin typeface="Cambria Math"/>
                            <a:ea typeface="+mn-ea"/>
                            <a:cs typeface="+mn-cs"/>
                          </a:rPr>
                          <m:t>𝐶</m:t>
                        </m:r>
                        <m:d>
                          <m:dPr>
                            <m:ctrlPr>
                              <a:rPr lang="ja-JP" altLang="ja-JP" sz="1000" i="1">
                                <a:solidFill>
                                  <a:schemeClr val="tx1"/>
                                </a:solidFill>
                                <a:effectLst/>
                                <a:latin typeface="Cambria Math"/>
                                <a:ea typeface="+mn-ea"/>
                                <a:cs typeface="+mn-cs"/>
                              </a:rPr>
                            </m:ctrlPr>
                          </m:dPr>
                          <m:e>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h</m:t>
                                </m:r>
                                <m:r>
                                  <m:rPr>
                                    <m:sty m:val="p"/>
                                  </m:rPr>
                                  <a:rPr lang="en-US" altLang="ja-JP" sz="1000" b="0" i="0">
                                    <a:solidFill>
                                      <a:schemeClr val="tx1"/>
                                    </a:solidFill>
                                    <a:effectLst/>
                                    <a:latin typeface="Cambria Math"/>
                                    <a:ea typeface="+mn-ea"/>
                                    <a:cs typeface="+mn-cs"/>
                                  </a:rPr>
                                  <m:t>H</m:t>
                                </m:r>
                              </m:sub>
                            </m:sSub>
                            <m:r>
                              <a:rPr lang="en-US" altLang="ja-JP" sz="1000" i="1">
                                <a:solidFill>
                                  <a:schemeClr val="tx1"/>
                                </a:solidFill>
                                <a:effectLst/>
                                <a:latin typeface="Cambria Math"/>
                                <a:ea typeface="+mn-ea"/>
                                <a:cs typeface="+mn-cs"/>
                              </a:rPr>
                              <m:t>−60</m:t>
                            </m:r>
                          </m:e>
                        </m:d>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𝑊</m:t>
                            </m:r>
                          </m:e>
                          <m:sub>
                            <m:r>
                              <m:rPr>
                                <m:sty m:val="p"/>
                              </m:rPr>
                              <a:rPr lang="en-US" altLang="ja-JP" sz="1000">
                                <a:solidFill>
                                  <a:schemeClr val="tx1"/>
                                </a:solidFill>
                                <a:effectLst/>
                                <a:latin typeface="Cambria Math"/>
                                <a:ea typeface="+mn-ea"/>
                                <a:cs typeface="+mn-cs"/>
                              </a:rPr>
                              <m:t>f</m:t>
                            </m:r>
                          </m:sub>
                        </m:sSub>
                      </m:num>
                      <m:den>
                        <m:r>
                          <a:rPr lang="en-US" altLang="ja-JP" sz="1000">
                            <a:solidFill>
                              <a:schemeClr val="tx1"/>
                            </a:solidFill>
                            <a:effectLst/>
                            <a:latin typeface="Cambria Math"/>
                            <a:ea typeface="+mn-ea"/>
                            <a:cs typeface="+mn-cs"/>
                          </a:rPr>
                          <m:t>60</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𝑝</m:t>
                            </m:r>
                          </m:e>
                          <m:sub>
                            <m:r>
                              <m:rPr>
                                <m:sty m:val="p"/>
                              </m:rPr>
                              <a:rPr lang="en-US" altLang="ja-JP" sz="1000">
                                <a:solidFill>
                                  <a:schemeClr val="tx1"/>
                                </a:solidFill>
                                <a:effectLst/>
                                <a:latin typeface="Cambria Math"/>
                                <a:ea typeface="+mn-ea"/>
                                <a:cs typeface="+mn-cs"/>
                              </a:rPr>
                              <m:t>f</m:t>
                            </m:r>
                          </m:sub>
                        </m:sSub>
                      </m:den>
                    </m:f>
                  </m:oMath>
                </m:oMathPara>
              </a14:m>
              <a:endParaRPr kumimoji="1" lang="ja-JP" altLang="en-US" sz="1000"/>
            </a:p>
          </xdr:txBody>
        </xdr:sp>
      </mc:Choice>
      <mc:Fallback xmlns="">
        <xdr:sp macro="" textlink="">
          <xdr:nvSpPr>
            <xdr:cNvPr id="9" name="テキスト ボックス 8"/>
            <xdr:cNvSpPr txBox="1"/>
          </xdr:nvSpPr>
          <xdr:spPr>
            <a:xfrm>
              <a:off x="8162924" y="4533900"/>
              <a:ext cx="1571625" cy="416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000" i="0">
                  <a:solidFill>
                    <a:schemeClr val="tx1"/>
                  </a:solidFill>
                  <a:effectLst/>
                  <a:latin typeface="Cambria Math"/>
                  <a:ea typeface="+mn-ea"/>
                  <a:cs typeface="+mn-cs"/>
                </a:rPr>
                <a:t>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s=𝑇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2+</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𝐶</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𝜃</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h</a:t>
              </a:r>
              <a:r>
                <a:rPr lang="en-US" altLang="ja-JP" sz="1000" b="0" i="0">
                  <a:solidFill>
                    <a:schemeClr val="tx1"/>
                  </a:solidFill>
                  <a:effectLst/>
                  <a:latin typeface="Cambria Math"/>
                  <a:ea typeface="+mn-ea"/>
                  <a:cs typeface="+mn-cs"/>
                </a:rPr>
                <a:t>H</a:t>
              </a:r>
              <a:r>
                <a:rPr lang="en-US" altLang="ja-JP" sz="1000" i="0">
                  <a:solidFill>
                    <a:schemeClr val="tx1"/>
                  </a:solidFill>
                  <a:effectLst/>
                  <a:latin typeface="Cambria Math"/>
                  <a:ea typeface="+mn-ea"/>
                  <a:cs typeface="+mn-cs"/>
                </a:rPr>
                <a:t>−60)</a:t>
              </a:r>
              <a:r>
                <a:rPr lang="ja-JP" altLang="ja-JP" sz="1000" i="0">
                  <a:solidFill>
                    <a:schemeClr val="tx1"/>
                  </a:solidFill>
                  <a:effectLst/>
                  <a:latin typeface="Cambria Math"/>
                  <a:ea typeface="+mn-ea"/>
                  <a:cs typeface="+mn-cs"/>
                </a:rPr>
                <a:t> </a:t>
              </a:r>
              <a:r>
                <a:rPr lang="en-US" altLang="ja-JP" sz="1000" i="0">
                  <a:solidFill>
                    <a:schemeClr val="tx1"/>
                  </a:solidFill>
                  <a:effectLst/>
                  <a:latin typeface="Cambria Math"/>
                  <a:ea typeface="+mn-ea"/>
                  <a:cs typeface="+mn-cs"/>
                </a:rPr>
                <a:t>𝑊</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f</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60𝑝</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f </a:t>
              </a:r>
              <a:r>
                <a:rPr lang="ja-JP" altLang="ja-JP" sz="1000" i="0">
                  <a:solidFill>
                    <a:schemeClr val="tx1"/>
                  </a:solidFill>
                  <a:effectLst/>
                  <a:latin typeface="Cambria Math"/>
                  <a:ea typeface="+mn-ea"/>
                  <a:cs typeface="+mn-cs"/>
                </a:rPr>
                <a:t>)</a:t>
              </a:r>
              <a:endParaRPr kumimoji="1" lang="ja-JP" altLang="en-US" sz="1000"/>
            </a:p>
          </xdr:txBody>
        </xdr:sp>
      </mc:Fallback>
    </mc:AlternateContent>
    <xdr:clientData/>
  </xdr:oneCellAnchor>
  <xdr:oneCellAnchor>
    <xdr:from>
      <xdr:col>14</xdr:col>
      <xdr:colOff>0</xdr:colOff>
      <xdr:row>24</xdr:row>
      <xdr:rowOff>0</xdr:rowOff>
    </xdr:from>
    <xdr:ext cx="1552575" cy="416909"/>
    <mc:AlternateContent xmlns:mc="http://schemas.openxmlformats.org/markup-compatibility/2006" xmlns:a14="http://schemas.microsoft.com/office/drawing/2010/main">
      <mc:Choice Requires="a14">
        <xdr:sp macro="" textlink="">
          <xdr:nvSpPr>
            <xdr:cNvPr id="10" name="テキスト ボックス 9"/>
            <xdr:cNvSpPr txBox="1"/>
          </xdr:nvSpPr>
          <xdr:spPr>
            <a:xfrm>
              <a:off x="8162925" y="5162550"/>
              <a:ext cx="1552575" cy="416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m:rPr>
                            <m:sty m:val="p"/>
                          </m:rPr>
                          <a:rPr lang="en-US" altLang="ja-JP" sz="1000">
                            <a:solidFill>
                              <a:schemeClr val="tx1"/>
                            </a:solidFill>
                            <a:effectLst/>
                            <a:latin typeface="Cambria Math"/>
                            <a:ea typeface="+mn-ea"/>
                            <a:cs typeface="+mn-cs"/>
                          </a:rPr>
                          <m:t>s</m:t>
                        </m:r>
                      </m:sub>
                    </m:sSub>
                    <m:r>
                      <a:rPr lang="en-US" altLang="ja-JP" sz="1000" i="1">
                        <a:solidFill>
                          <a:schemeClr val="tx1"/>
                        </a:solidFill>
                        <a:effectLst/>
                        <a:latin typeface="Cambria Math"/>
                        <a:ea typeface="+mn-ea"/>
                        <a:cs typeface="+mn-cs"/>
                      </a:rPr>
                      <m:t>=</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a:rPr lang="en-US" altLang="ja-JP" sz="1000">
                            <a:solidFill>
                              <a:schemeClr val="tx1"/>
                            </a:solidFill>
                            <a:effectLst/>
                            <a:latin typeface="Cambria Math"/>
                            <a:ea typeface="+mn-ea"/>
                            <a:cs typeface="+mn-cs"/>
                          </a:rPr>
                          <m:t>2</m:t>
                        </m:r>
                      </m:sub>
                    </m:sSub>
                    <m:r>
                      <a:rPr lang="en-US" altLang="ja-JP" sz="1000" i="1">
                        <a:solidFill>
                          <a:schemeClr val="tx1"/>
                        </a:solidFill>
                        <a:effectLst/>
                        <a:latin typeface="Cambria Math"/>
                        <a:ea typeface="+mn-ea"/>
                        <a:cs typeface="+mn-cs"/>
                      </a:rPr>
                      <m:t>+</m:t>
                    </m:r>
                    <m:f>
                      <m:fPr>
                        <m:ctrlPr>
                          <a:rPr lang="ja-JP" altLang="ja-JP" sz="1000" i="1">
                            <a:solidFill>
                              <a:schemeClr val="tx1"/>
                            </a:solidFill>
                            <a:effectLst/>
                            <a:latin typeface="Cambria Math"/>
                            <a:ea typeface="+mn-ea"/>
                            <a:cs typeface="+mn-cs"/>
                          </a:rPr>
                        </m:ctrlPr>
                      </m:fPr>
                      <m:num>
                        <m:r>
                          <a:rPr lang="en-US" altLang="ja-JP" sz="1000" i="1">
                            <a:solidFill>
                              <a:schemeClr val="tx1"/>
                            </a:solidFill>
                            <a:effectLst/>
                            <a:latin typeface="Cambria Math"/>
                            <a:ea typeface="+mn-ea"/>
                            <a:cs typeface="+mn-cs"/>
                          </a:rPr>
                          <m:t>𝐶</m:t>
                        </m:r>
                        <m:d>
                          <m:dPr>
                            <m:ctrlPr>
                              <a:rPr lang="ja-JP" altLang="ja-JP" sz="1000" i="1">
                                <a:solidFill>
                                  <a:schemeClr val="tx1"/>
                                </a:solidFill>
                                <a:effectLst/>
                                <a:latin typeface="Cambria Math"/>
                                <a:ea typeface="+mn-ea"/>
                                <a:cs typeface="+mn-cs"/>
                              </a:rPr>
                            </m:ctrlPr>
                          </m:dPr>
                          <m:e>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h</m:t>
                                </m:r>
                                <m:r>
                                  <m:rPr>
                                    <m:sty m:val="p"/>
                                  </m:rPr>
                                  <a:rPr lang="en-US" altLang="ja-JP" sz="1000" b="0" i="0">
                                    <a:solidFill>
                                      <a:schemeClr val="tx1"/>
                                    </a:solidFill>
                                    <a:effectLst/>
                                    <a:latin typeface="Cambria Math"/>
                                    <a:ea typeface="+mn-ea"/>
                                    <a:cs typeface="+mn-cs"/>
                                  </a:rPr>
                                  <m:t>C</m:t>
                                </m:r>
                              </m:sub>
                            </m:sSub>
                            <m:r>
                              <a:rPr lang="en-US" altLang="ja-JP" sz="1000" i="1">
                                <a:solidFill>
                                  <a:schemeClr val="tx1"/>
                                </a:solidFill>
                                <a:effectLst/>
                                <a:latin typeface="Cambria Math"/>
                                <a:ea typeface="+mn-ea"/>
                                <a:cs typeface="+mn-cs"/>
                              </a:rPr>
                              <m:t>−</m:t>
                            </m:r>
                            <m:r>
                              <a:rPr lang="en-US" altLang="ja-JP" sz="1000" b="0" i="1">
                                <a:solidFill>
                                  <a:schemeClr val="tx1"/>
                                </a:solidFill>
                                <a:effectLst/>
                                <a:latin typeface="Cambria Math"/>
                                <a:ea typeface="+mn-ea"/>
                                <a:cs typeface="+mn-cs"/>
                              </a:rPr>
                              <m:t>15</m:t>
                            </m:r>
                          </m:e>
                        </m:d>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𝑊</m:t>
                            </m:r>
                          </m:e>
                          <m:sub>
                            <m:r>
                              <m:rPr>
                                <m:sty m:val="p"/>
                              </m:rPr>
                              <a:rPr lang="en-US" altLang="ja-JP" sz="1000">
                                <a:solidFill>
                                  <a:schemeClr val="tx1"/>
                                </a:solidFill>
                                <a:effectLst/>
                                <a:latin typeface="Cambria Math"/>
                                <a:ea typeface="+mn-ea"/>
                                <a:cs typeface="+mn-cs"/>
                              </a:rPr>
                              <m:t>f</m:t>
                            </m:r>
                          </m:sub>
                        </m:sSub>
                      </m:num>
                      <m:den>
                        <m:r>
                          <a:rPr lang="en-US" altLang="ja-JP" sz="1000">
                            <a:solidFill>
                              <a:schemeClr val="tx1"/>
                            </a:solidFill>
                            <a:effectLst/>
                            <a:latin typeface="Cambria Math"/>
                            <a:ea typeface="+mn-ea"/>
                            <a:cs typeface="+mn-cs"/>
                          </a:rPr>
                          <m:t>60</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𝑝</m:t>
                            </m:r>
                          </m:e>
                          <m:sub>
                            <m:r>
                              <m:rPr>
                                <m:sty m:val="p"/>
                              </m:rPr>
                              <a:rPr lang="en-US" altLang="ja-JP" sz="1000">
                                <a:solidFill>
                                  <a:schemeClr val="tx1"/>
                                </a:solidFill>
                                <a:effectLst/>
                                <a:latin typeface="Cambria Math"/>
                                <a:ea typeface="+mn-ea"/>
                                <a:cs typeface="+mn-cs"/>
                              </a:rPr>
                              <m:t>f</m:t>
                            </m:r>
                          </m:sub>
                        </m:sSub>
                      </m:den>
                    </m:f>
                  </m:oMath>
                </m:oMathPara>
              </a14:m>
              <a:endParaRPr kumimoji="1" lang="ja-JP" altLang="en-US" sz="1000"/>
            </a:p>
          </xdr:txBody>
        </xdr:sp>
      </mc:Choice>
      <mc:Fallback xmlns="">
        <xdr:sp macro="" textlink="">
          <xdr:nvSpPr>
            <xdr:cNvPr id="10" name="テキスト ボックス 9"/>
            <xdr:cNvSpPr txBox="1"/>
          </xdr:nvSpPr>
          <xdr:spPr>
            <a:xfrm>
              <a:off x="8162925" y="5162550"/>
              <a:ext cx="1552575" cy="416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000" i="0">
                  <a:solidFill>
                    <a:schemeClr val="tx1"/>
                  </a:solidFill>
                  <a:effectLst/>
                  <a:latin typeface="Cambria Math"/>
                  <a:ea typeface="+mn-ea"/>
                  <a:cs typeface="+mn-cs"/>
                </a:rPr>
                <a:t>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s=𝑇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2+</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𝐶</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𝜃</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h</a:t>
              </a:r>
              <a:r>
                <a:rPr lang="en-US" altLang="ja-JP" sz="1000" b="0" i="0">
                  <a:solidFill>
                    <a:schemeClr val="tx1"/>
                  </a:solidFill>
                  <a:effectLst/>
                  <a:latin typeface="Cambria Math"/>
                  <a:ea typeface="+mn-ea"/>
                  <a:cs typeface="+mn-cs"/>
                </a:rPr>
                <a:t>C</a:t>
              </a:r>
              <a:r>
                <a:rPr lang="en-US" altLang="ja-JP" sz="1000" i="0">
                  <a:solidFill>
                    <a:schemeClr val="tx1"/>
                  </a:solidFill>
                  <a:effectLst/>
                  <a:latin typeface="Cambria Math"/>
                  <a:ea typeface="+mn-ea"/>
                  <a:cs typeface="+mn-cs"/>
                </a:rPr>
                <a:t>−</a:t>
              </a:r>
              <a:r>
                <a:rPr lang="en-US" altLang="ja-JP" sz="1000" b="0" i="0">
                  <a:solidFill>
                    <a:schemeClr val="tx1"/>
                  </a:solidFill>
                  <a:effectLst/>
                  <a:latin typeface="Cambria Math"/>
                  <a:ea typeface="+mn-ea"/>
                  <a:cs typeface="+mn-cs"/>
                </a:rPr>
                <a:t>15)</a:t>
              </a:r>
              <a:r>
                <a:rPr lang="ja-JP" altLang="ja-JP" sz="1000" b="0" i="0">
                  <a:solidFill>
                    <a:schemeClr val="tx1"/>
                  </a:solidFill>
                  <a:effectLst/>
                  <a:latin typeface="Cambria Math"/>
                  <a:ea typeface="+mn-ea"/>
                  <a:cs typeface="+mn-cs"/>
                </a:rPr>
                <a:t> </a:t>
              </a:r>
              <a:r>
                <a:rPr lang="en-US" altLang="ja-JP" sz="1000" i="0">
                  <a:solidFill>
                    <a:schemeClr val="tx1"/>
                  </a:solidFill>
                  <a:effectLst/>
                  <a:latin typeface="Cambria Math"/>
                  <a:ea typeface="+mn-ea"/>
                  <a:cs typeface="+mn-cs"/>
                </a:rPr>
                <a:t>𝑊</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f</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60𝑝</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f </a:t>
              </a:r>
              <a:r>
                <a:rPr lang="ja-JP" altLang="ja-JP" sz="1000" i="0">
                  <a:solidFill>
                    <a:schemeClr val="tx1"/>
                  </a:solidFill>
                  <a:effectLst/>
                  <a:latin typeface="Cambria Math"/>
                  <a:ea typeface="+mn-ea"/>
                  <a:cs typeface="+mn-cs"/>
                </a:rPr>
                <a:t>)</a:t>
              </a:r>
              <a:endParaRPr kumimoji="1" lang="ja-JP" altLang="en-US" sz="1000"/>
            </a:p>
          </xdr:txBody>
        </xdr:sp>
      </mc:Fallback>
    </mc:AlternateContent>
    <xdr:clientData/>
  </xdr:oneCellAnchor>
  <xdr:oneCellAnchor>
    <xdr:from>
      <xdr:col>14</xdr:col>
      <xdr:colOff>0</xdr:colOff>
      <xdr:row>27</xdr:row>
      <xdr:rowOff>0</xdr:rowOff>
    </xdr:from>
    <xdr:ext cx="1726626" cy="416909"/>
    <mc:AlternateContent xmlns:mc="http://schemas.openxmlformats.org/markup-compatibility/2006" xmlns:a14="http://schemas.microsoft.com/office/drawing/2010/main">
      <mc:Choice Requires="a14">
        <xdr:sp macro="" textlink="">
          <xdr:nvSpPr>
            <xdr:cNvPr id="11" name="テキスト ボックス 10"/>
            <xdr:cNvSpPr txBox="1"/>
          </xdr:nvSpPr>
          <xdr:spPr>
            <a:xfrm>
              <a:off x="8162925" y="5800725"/>
              <a:ext cx="1726626" cy="416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m:rPr>
                            <m:sty m:val="p"/>
                          </m:rPr>
                          <a:rPr lang="en-US" altLang="ja-JP" sz="1000">
                            <a:solidFill>
                              <a:schemeClr val="tx1"/>
                            </a:solidFill>
                            <a:effectLst/>
                            <a:latin typeface="Cambria Math"/>
                            <a:ea typeface="+mn-ea"/>
                            <a:cs typeface="+mn-cs"/>
                          </a:rPr>
                          <m:t>H</m:t>
                        </m:r>
                      </m:sub>
                    </m:sSub>
                    <m:r>
                      <a:rPr lang="en-US" altLang="ja-JP" sz="1000" i="1">
                        <a:solidFill>
                          <a:schemeClr val="tx1"/>
                        </a:solidFill>
                        <a:effectLst/>
                        <a:latin typeface="Cambria Math"/>
                        <a:ea typeface="+mn-ea"/>
                        <a:cs typeface="+mn-cs"/>
                      </a:rPr>
                      <m:t>=</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a:rPr lang="en-US" altLang="ja-JP" sz="1000">
                            <a:solidFill>
                              <a:schemeClr val="tx1"/>
                            </a:solidFill>
                            <a:effectLst/>
                            <a:latin typeface="Cambria Math"/>
                            <a:ea typeface="+mn-ea"/>
                            <a:cs typeface="+mn-cs"/>
                          </a:rPr>
                          <m:t>3</m:t>
                        </m:r>
                      </m:sub>
                    </m:sSub>
                    <m:r>
                      <a:rPr lang="en-US" altLang="ja-JP" sz="1000" i="1">
                        <a:solidFill>
                          <a:schemeClr val="tx1"/>
                        </a:solidFill>
                        <a:effectLst/>
                        <a:latin typeface="Cambria Math"/>
                        <a:ea typeface="+mn-ea"/>
                        <a:cs typeface="+mn-cs"/>
                      </a:rPr>
                      <m:t>+</m:t>
                    </m:r>
                    <m:f>
                      <m:fPr>
                        <m:ctrlPr>
                          <a:rPr lang="ja-JP" altLang="ja-JP" sz="1000" i="1">
                            <a:solidFill>
                              <a:schemeClr val="tx1"/>
                            </a:solidFill>
                            <a:effectLst/>
                            <a:latin typeface="Cambria Math"/>
                            <a:ea typeface="+mn-ea"/>
                            <a:cs typeface="+mn-cs"/>
                          </a:rPr>
                        </m:ctrlPr>
                      </m:fPr>
                      <m:num>
                        <m:r>
                          <a:rPr lang="en-US" altLang="ja-JP" sz="1000" i="1">
                            <a:solidFill>
                              <a:schemeClr val="tx1"/>
                            </a:solidFill>
                            <a:effectLst/>
                            <a:latin typeface="Cambria Math"/>
                            <a:ea typeface="+mn-ea"/>
                            <a:cs typeface="+mn-cs"/>
                          </a:rPr>
                          <m:t>𝐶</m:t>
                        </m:r>
                        <m:d>
                          <m:dPr>
                            <m:ctrlPr>
                              <a:rPr lang="ja-JP" altLang="ja-JP" sz="1000" i="1">
                                <a:solidFill>
                                  <a:schemeClr val="tx1"/>
                                </a:solidFill>
                                <a:effectLst/>
                                <a:latin typeface="Cambria Math"/>
                                <a:ea typeface="+mn-ea"/>
                                <a:cs typeface="+mn-cs"/>
                              </a:rPr>
                            </m:ctrlPr>
                          </m:dPr>
                          <m:e>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h</m:t>
                                </m:r>
                                <m:r>
                                  <m:rPr>
                                    <m:sty m:val="p"/>
                                  </m:rPr>
                                  <a:rPr lang="en-US" altLang="ja-JP" sz="1000" b="0" i="0">
                                    <a:solidFill>
                                      <a:schemeClr val="tx1"/>
                                    </a:solidFill>
                                    <a:effectLst/>
                                    <a:latin typeface="Cambria Math"/>
                                    <a:ea typeface="+mn-ea"/>
                                    <a:cs typeface="+mn-cs"/>
                                  </a:rPr>
                                  <m:t>H</m:t>
                                </m:r>
                              </m:sub>
                            </m:sSub>
                            <m:r>
                              <a:rPr lang="en-US" altLang="ja-JP" sz="1000" i="1">
                                <a:solidFill>
                                  <a:schemeClr val="tx1"/>
                                </a:solidFill>
                                <a:effectLst/>
                                <a:latin typeface="Cambria Math"/>
                                <a:ea typeface="+mn-ea"/>
                                <a:cs typeface="+mn-cs"/>
                              </a:rPr>
                              <m:t>−60</m:t>
                            </m:r>
                          </m:e>
                        </m:d>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𝑊</m:t>
                            </m:r>
                          </m:e>
                          <m:sub>
                            <m:r>
                              <m:rPr>
                                <m:sty m:val="p"/>
                              </m:rPr>
                              <a:rPr lang="en-US" altLang="ja-JP" sz="1000">
                                <a:solidFill>
                                  <a:schemeClr val="tx1"/>
                                </a:solidFill>
                                <a:effectLst/>
                                <a:latin typeface="Cambria Math"/>
                                <a:ea typeface="+mn-ea"/>
                                <a:cs typeface="+mn-cs"/>
                              </a:rPr>
                              <m:t>m</m:t>
                            </m:r>
                          </m:sub>
                        </m:sSub>
                      </m:num>
                      <m:den>
                        <m:r>
                          <a:rPr lang="en-US" altLang="ja-JP" sz="1000">
                            <a:solidFill>
                              <a:schemeClr val="tx1"/>
                            </a:solidFill>
                            <a:effectLst/>
                            <a:latin typeface="Cambria Math"/>
                            <a:ea typeface="+mn-ea"/>
                            <a:cs typeface="+mn-cs"/>
                          </a:rPr>
                          <m:t>60</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𝑝</m:t>
                            </m:r>
                          </m:e>
                          <m:sub>
                            <m:r>
                              <m:rPr>
                                <m:sty m:val="p"/>
                              </m:rPr>
                              <a:rPr lang="en-US" altLang="ja-JP" sz="1000">
                                <a:solidFill>
                                  <a:schemeClr val="tx1"/>
                                </a:solidFill>
                                <a:effectLst/>
                                <a:latin typeface="Cambria Math"/>
                                <a:ea typeface="+mn-ea"/>
                                <a:cs typeface="+mn-cs"/>
                              </a:rPr>
                              <m:t>m</m:t>
                            </m:r>
                          </m:sub>
                        </m:sSub>
                      </m:den>
                    </m:f>
                  </m:oMath>
                </m:oMathPara>
              </a14:m>
              <a:endParaRPr kumimoji="1" lang="ja-JP" altLang="en-US" sz="1000"/>
            </a:p>
          </xdr:txBody>
        </xdr:sp>
      </mc:Choice>
      <mc:Fallback xmlns="">
        <xdr:sp macro="" textlink="">
          <xdr:nvSpPr>
            <xdr:cNvPr id="11" name="テキスト ボックス 10"/>
            <xdr:cNvSpPr txBox="1"/>
          </xdr:nvSpPr>
          <xdr:spPr>
            <a:xfrm>
              <a:off x="8162925" y="5800725"/>
              <a:ext cx="1726626" cy="416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000" i="0">
                  <a:solidFill>
                    <a:schemeClr val="tx1"/>
                  </a:solidFill>
                  <a:effectLst/>
                  <a:latin typeface="Cambria Math"/>
                  <a:ea typeface="+mn-ea"/>
                  <a:cs typeface="+mn-cs"/>
                </a:rPr>
                <a:t>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H=𝑇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3+</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𝐶</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𝜃</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h</a:t>
              </a:r>
              <a:r>
                <a:rPr lang="en-US" altLang="ja-JP" sz="1000" b="0" i="0">
                  <a:solidFill>
                    <a:schemeClr val="tx1"/>
                  </a:solidFill>
                  <a:effectLst/>
                  <a:latin typeface="Cambria Math"/>
                  <a:ea typeface="+mn-ea"/>
                  <a:cs typeface="+mn-cs"/>
                </a:rPr>
                <a:t>H</a:t>
              </a:r>
              <a:r>
                <a:rPr lang="en-US" altLang="ja-JP" sz="1000" i="0">
                  <a:solidFill>
                    <a:schemeClr val="tx1"/>
                  </a:solidFill>
                  <a:effectLst/>
                  <a:latin typeface="Cambria Math"/>
                  <a:ea typeface="+mn-ea"/>
                  <a:cs typeface="+mn-cs"/>
                </a:rPr>
                <a:t>−60)</a:t>
              </a:r>
              <a:r>
                <a:rPr lang="ja-JP" altLang="ja-JP" sz="1000" i="0">
                  <a:solidFill>
                    <a:schemeClr val="tx1"/>
                  </a:solidFill>
                  <a:effectLst/>
                  <a:latin typeface="Cambria Math"/>
                  <a:ea typeface="+mn-ea"/>
                  <a:cs typeface="+mn-cs"/>
                </a:rPr>
                <a:t> </a:t>
              </a:r>
              <a:r>
                <a:rPr lang="en-US" altLang="ja-JP" sz="1000" i="0">
                  <a:solidFill>
                    <a:schemeClr val="tx1"/>
                  </a:solidFill>
                  <a:effectLst/>
                  <a:latin typeface="Cambria Math"/>
                  <a:ea typeface="+mn-ea"/>
                  <a:cs typeface="+mn-cs"/>
                </a:rPr>
                <a:t>𝑊</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m</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60𝑝</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m </a:t>
              </a:r>
              <a:r>
                <a:rPr lang="ja-JP" altLang="ja-JP" sz="1000" i="0">
                  <a:solidFill>
                    <a:schemeClr val="tx1"/>
                  </a:solidFill>
                  <a:effectLst/>
                  <a:latin typeface="Cambria Math"/>
                  <a:ea typeface="+mn-ea"/>
                  <a:cs typeface="+mn-cs"/>
                </a:rPr>
                <a:t>)</a:t>
              </a:r>
              <a:endParaRPr kumimoji="1" lang="ja-JP" altLang="en-US" sz="1000"/>
            </a:p>
          </xdr:txBody>
        </xdr:sp>
      </mc:Fallback>
    </mc:AlternateContent>
    <xdr:clientData/>
  </xdr:oneCellAnchor>
  <xdr:oneCellAnchor>
    <xdr:from>
      <xdr:col>14</xdr:col>
      <xdr:colOff>0</xdr:colOff>
      <xdr:row>30</xdr:row>
      <xdr:rowOff>0</xdr:rowOff>
    </xdr:from>
    <xdr:ext cx="1726626" cy="416909"/>
    <mc:AlternateContent xmlns:mc="http://schemas.openxmlformats.org/markup-compatibility/2006" xmlns:a14="http://schemas.microsoft.com/office/drawing/2010/main">
      <mc:Choice Requires="a14">
        <xdr:sp macro="" textlink="">
          <xdr:nvSpPr>
            <xdr:cNvPr id="12" name="テキスト ボックス 11"/>
            <xdr:cNvSpPr txBox="1"/>
          </xdr:nvSpPr>
          <xdr:spPr>
            <a:xfrm>
              <a:off x="8162925" y="6429375"/>
              <a:ext cx="1726626" cy="416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m:rPr>
                            <m:sty m:val="p"/>
                          </m:rPr>
                          <a:rPr lang="en-US" altLang="ja-JP" sz="1000">
                            <a:solidFill>
                              <a:schemeClr val="tx1"/>
                            </a:solidFill>
                            <a:effectLst/>
                            <a:latin typeface="Cambria Math"/>
                            <a:ea typeface="+mn-ea"/>
                            <a:cs typeface="+mn-cs"/>
                          </a:rPr>
                          <m:t>s</m:t>
                        </m:r>
                      </m:sub>
                    </m:sSub>
                    <m:r>
                      <a:rPr lang="en-US" altLang="ja-JP" sz="1000" i="1">
                        <a:solidFill>
                          <a:schemeClr val="tx1"/>
                        </a:solidFill>
                        <a:effectLst/>
                        <a:latin typeface="Cambria Math"/>
                        <a:ea typeface="+mn-ea"/>
                        <a:cs typeface="+mn-cs"/>
                      </a:rPr>
                      <m:t>=</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𝑇</m:t>
                        </m:r>
                      </m:e>
                      <m:sub>
                        <m:r>
                          <a:rPr lang="en-US" altLang="ja-JP" sz="1000">
                            <a:solidFill>
                              <a:schemeClr val="tx1"/>
                            </a:solidFill>
                            <a:effectLst/>
                            <a:latin typeface="Cambria Math"/>
                            <a:ea typeface="+mn-ea"/>
                            <a:cs typeface="+mn-cs"/>
                          </a:rPr>
                          <m:t>3</m:t>
                        </m:r>
                      </m:sub>
                    </m:sSub>
                    <m:r>
                      <a:rPr lang="en-US" altLang="ja-JP" sz="1000" i="1">
                        <a:solidFill>
                          <a:schemeClr val="tx1"/>
                        </a:solidFill>
                        <a:effectLst/>
                        <a:latin typeface="Cambria Math"/>
                        <a:ea typeface="+mn-ea"/>
                        <a:cs typeface="+mn-cs"/>
                      </a:rPr>
                      <m:t>+</m:t>
                    </m:r>
                    <m:f>
                      <m:fPr>
                        <m:ctrlPr>
                          <a:rPr lang="ja-JP" altLang="ja-JP" sz="1000" i="1">
                            <a:solidFill>
                              <a:schemeClr val="tx1"/>
                            </a:solidFill>
                            <a:effectLst/>
                            <a:latin typeface="Cambria Math"/>
                            <a:ea typeface="+mn-ea"/>
                            <a:cs typeface="+mn-cs"/>
                          </a:rPr>
                        </m:ctrlPr>
                      </m:fPr>
                      <m:num>
                        <m:r>
                          <a:rPr lang="en-US" altLang="ja-JP" sz="1000" i="1">
                            <a:solidFill>
                              <a:schemeClr val="tx1"/>
                            </a:solidFill>
                            <a:effectLst/>
                            <a:latin typeface="Cambria Math"/>
                            <a:ea typeface="+mn-ea"/>
                            <a:cs typeface="+mn-cs"/>
                          </a:rPr>
                          <m:t>𝐶</m:t>
                        </m:r>
                        <m:d>
                          <m:dPr>
                            <m:ctrlPr>
                              <a:rPr lang="ja-JP" altLang="ja-JP" sz="1000" i="1">
                                <a:solidFill>
                                  <a:schemeClr val="tx1"/>
                                </a:solidFill>
                                <a:effectLst/>
                                <a:latin typeface="Cambria Math"/>
                                <a:ea typeface="+mn-ea"/>
                                <a:cs typeface="+mn-cs"/>
                              </a:rPr>
                            </m:ctrlPr>
                          </m:dPr>
                          <m:e>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h</m:t>
                                </m:r>
                                <m:r>
                                  <m:rPr>
                                    <m:sty m:val="p"/>
                                  </m:rPr>
                                  <a:rPr lang="en-US" altLang="ja-JP" sz="1000" b="0" i="0">
                                    <a:solidFill>
                                      <a:schemeClr val="tx1"/>
                                    </a:solidFill>
                                    <a:effectLst/>
                                    <a:latin typeface="Cambria Math"/>
                                    <a:ea typeface="+mn-ea"/>
                                    <a:cs typeface="+mn-cs"/>
                                  </a:rPr>
                                  <m:t>C</m:t>
                                </m:r>
                              </m:sub>
                            </m:sSub>
                            <m:r>
                              <a:rPr lang="en-US" altLang="ja-JP" sz="1000" i="1">
                                <a:solidFill>
                                  <a:schemeClr val="tx1"/>
                                </a:solidFill>
                                <a:effectLst/>
                                <a:latin typeface="Cambria Math"/>
                                <a:ea typeface="+mn-ea"/>
                                <a:cs typeface="+mn-cs"/>
                              </a:rPr>
                              <m:t>−</m:t>
                            </m:r>
                            <m:r>
                              <a:rPr lang="en-US" altLang="ja-JP" sz="1000" b="0" i="1">
                                <a:solidFill>
                                  <a:schemeClr val="tx1"/>
                                </a:solidFill>
                                <a:effectLst/>
                                <a:latin typeface="Cambria Math"/>
                                <a:ea typeface="+mn-ea"/>
                                <a:cs typeface="+mn-cs"/>
                              </a:rPr>
                              <m:t>15</m:t>
                            </m:r>
                          </m:e>
                        </m:d>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𝑊</m:t>
                            </m:r>
                          </m:e>
                          <m:sub>
                            <m:r>
                              <m:rPr>
                                <m:sty m:val="p"/>
                              </m:rPr>
                              <a:rPr lang="en-US" altLang="ja-JP" sz="1000">
                                <a:solidFill>
                                  <a:schemeClr val="tx1"/>
                                </a:solidFill>
                                <a:effectLst/>
                                <a:latin typeface="Cambria Math"/>
                                <a:ea typeface="+mn-ea"/>
                                <a:cs typeface="+mn-cs"/>
                              </a:rPr>
                              <m:t>m</m:t>
                            </m:r>
                          </m:sub>
                        </m:sSub>
                      </m:num>
                      <m:den>
                        <m:r>
                          <a:rPr lang="en-US" altLang="ja-JP" sz="1000">
                            <a:solidFill>
                              <a:schemeClr val="tx1"/>
                            </a:solidFill>
                            <a:effectLst/>
                            <a:latin typeface="Cambria Math"/>
                            <a:ea typeface="+mn-ea"/>
                            <a:cs typeface="+mn-cs"/>
                          </a:rPr>
                          <m:t>60</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𝑝</m:t>
                            </m:r>
                          </m:e>
                          <m:sub>
                            <m:r>
                              <m:rPr>
                                <m:sty m:val="p"/>
                              </m:rPr>
                              <a:rPr lang="en-US" altLang="ja-JP" sz="1000">
                                <a:solidFill>
                                  <a:schemeClr val="tx1"/>
                                </a:solidFill>
                                <a:effectLst/>
                                <a:latin typeface="Cambria Math"/>
                                <a:ea typeface="+mn-ea"/>
                                <a:cs typeface="+mn-cs"/>
                              </a:rPr>
                              <m:t>m</m:t>
                            </m:r>
                          </m:sub>
                        </m:sSub>
                      </m:den>
                    </m:f>
                  </m:oMath>
                </m:oMathPara>
              </a14:m>
              <a:endParaRPr kumimoji="1" lang="ja-JP" altLang="en-US" sz="1000"/>
            </a:p>
          </xdr:txBody>
        </xdr:sp>
      </mc:Choice>
      <mc:Fallback xmlns="">
        <xdr:sp macro="" textlink="">
          <xdr:nvSpPr>
            <xdr:cNvPr id="12" name="テキスト ボックス 11"/>
            <xdr:cNvSpPr txBox="1"/>
          </xdr:nvSpPr>
          <xdr:spPr>
            <a:xfrm>
              <a:off x="8162925" y="6429375"/>
              <a:ext cx="1726626" cy="416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000" i="0">
                  <a:solidFill>
                    <a:schemeClr val="tx1"/>
                  </a:solidFill>
                  <a:effectLst/>
                  <a:latin typeface="Cambria Math"/>
                  <a:ea typeface="+mn-ea"/>
                  <a:cs typeface="+mn-cs"/>
                </a:rPr>
                <a:t>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s=𝑇</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3+</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𝐶</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𝜃</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h</a:t>
              </a:r>
              <a:r>
                <a:rPr lang="en-US" altLang="ja-JP" sz="1000" b="0" i="0">
                  <a:solidFill>
                    <a:schemeClr val="tx1"/>
                  </a:solidFill>
                  <a:effectLst/>
                  <a:latin typeface="Cambria Math"/>
                  <a:ea typeface="+mn-ea"/>
                  <a:cs typeface="+mn-cs"/>
                </a:rPr>
                <a:t>C</a:t>
              </a:r>
              <a:r>
                <a:rPr lang="en-US" altLang="ja-JP" sz="1000" i="0">
                  <a:solidFill>
                    <a:schemeClr val="tx1"/>
                  </a:solidFill>
                  <a:effectLst/>
                  <a:latin typeface="Cambria Math"/>
                  <a:ea typeface="+mn-ea"/>
                  <a:cs typeface="+mn-cs"/>
                </a:rPr>
                <a:t>−</a:t>
              </a:r>
              <a:r>
                <a:rPr lang="en-US" altLang="ja-JP" sz="1000" b="0" i="0">
                  <a:solidFill>
                    <a:schemeClr val="tx1"/>
                  </a:solidFill>
                  <a:effectLst/>
                  <a:latin typeface="Cambria Math"/>
                  <a:ea typeface="+mn-ea"/>
                  <a:cs typeface="+mn-cs"/>
                </a:rPr>
                <a:t>15)</a:t>
              </a:r>
              <a:r>
                <a:rPr lang="ja-JP" altLang="ja-JP" sz="1000" b="0" i="0">
                  <a:solidFill>
                    <a:schemeClr val="tx1"/>
                  </a:solidFill>
                  <a:effectLst/>
                  <a:latin typeface="Cambria Math"/>
                  <a:ea typeface="+mn-ea"/>
                  <a:cs typeface="+mn-cs"/>
                </a:rPr>
                <a:t> </a:t>
              </a:r>
              <a:r>
                <a:rPr lang="en-US" altLang="ja-JP" sz="1000" i="0">
                  <a:solidFill>
                    <a:schemeClr val="tx1"/>
                  </a:solidFill>
                  <a:effectLst/>
                  <a:latin typeface="Cambria Math"/>
                  <a:ea typeface="+mn-ea"/>
                  <a:cs typeface="+mn-cs"/>
                </a:rPr>
                <a:t>𝑊</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m</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60𝑝</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m </a:t>
              </a:r>
              <a:r>
                <a:rPr lang="ja-JP" altLang="ja-JP" sz="1000" i="0">
                  <a:solidFill>
                    <a:schemeClr val="tx1"/>
                  </a:solidFill>
                  <a:effectLst/>
                  <a:latin typeface="Cambria Math"/>
                  <a:ea typeface="+mn-ea"/>
                  <a:cs typeface="+mn-cs"/>
                </a:rPr>
                <a:t>)</a:t>
              </a:r>
              <a:endParaRPr kumimoji="1" lang="ja-JP" altLang="en-US" sz="10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3</xdr:col>
          <xdr:colOff>1238250</xdr:colOff>
          <xdr:row>34</xdr:row>
          <xdr:rowOff>85725</xdr:rowOff>
        </xdr:from>
        <xdr:to>
          <xdr:col>7</xdr:col>
          <xdr:colOff>214034</xdr:colOff>
          <xdr:row>37</xdr:row>
          <xdr:rowOff>52493</xdr:rowOff>
        </xdr:to>
        <xdr:pic>
          <xdr:nvPicPr>
            <xdr:cNvPr id="13" name="図 63"/>
            <xdr:cNvPicPr>
              <a:picLocks noChangeAspect="1" noChangeArrowheads="1"/>
              <a:extLst>
                <a:ext uri="{84589F7E-364E-4C9E-8A38-B11213B215E9}">
                  <a14:cameraTool cellRange="立洗浄式" spid="_x0000_s10313"/>
                </a:ext>
              </a:extLst>
            </xdr:cNvPicPr>
          </xdr:nvPicPr>
          <xdr:blipFill>
            <a:blip xmlns:r="http://schemas.openxmlformats.org/officeDocument/2006/relationships" r:embed="rId1"/>
            <a:srcRect/>
            <a:stretch>
              <a:fillRect/>
            </a:stretch>
          </xdr:blipFill>
          <xdr:spPr bwMode="auto">
            <a:xfrm>
              <a:off x="2495550" y="7267575"/>
              <a:ext cx="2185709" cy="538268"/>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37</xdr:row>
          <xdr:rowOff>85725</xdr:rowOff>
        </xdr:from>
        <xdr:to>
          <xdr:col>7</xdr:col>
          <xdr:colOff>233084</xdr:colOff>
          <xdr:row>40</xdr:row>
          <xdr:rowOff>52493</xdr:rowOff>
        </xdr:to>
        <xdr:pic>
          <xdr:nvPicPr>
            <xdr:cNvPr id="14" name="図 63"/>
            <xdr:cNvPicPr>
              <a:picLocks noChangeAspect="1" noChangeArrowheads="1"/>
              <a:extLst>
                <a:ext uri="{84589F7E-364E-4C9E-8A38-B11213B215E9}">
                  <a14:cameraTool cellRange="立循環式" spid="_x0000_s10314"/>
                </a:ext>
              </a:extLst>
            </xdr:cNvPicPr>
          </xdr:nvPicPr>
          <xdr:blipFill>
            <a:blip xmlns:r="http://schemas.openxmlformats.org/officeDocument/2006/relationships" r:embed="rId2"/>
            <a:srcRect/>
            <a:stretch>
              <a:fillRect/>
            </a:stretch>
          </xdr:blipFill>
          <xdr:spPr bwMode="auto">
            <a:xfrm>
              <a:off x="2514600" y="7839075"/>
              <a:ext cx="2185709" cy="538268"/>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oneCellAnchor>
    <xdr:from>
      <xdr:col>18</xdr:col>
      <xdr:colOff>0</xdr:colOff>
      <xdr:row>24</xdr:row>
      <xdr:rowOff>0</xdr:rowOff>
    </xdr:from>
    <xdr:ext cx="352425" cy="248851"/>
    <mc:AlternateContent xmlns:mc="http://schemas.openxmlformats.org/markup-compatibility/2006" xmlns:a14="http://schemas.microsoft.com/office/drawing/2010/main">
      <mc:Choice Requires="a14">
        <xdr:sp macro="" textlink="">
          <xdr:nvSpPr>
            <xdr:cNvPr id="15" name="テキスト ボックス 14"/>
            <xdr:cNvSpPr txBox="1"/>
          </xdr:nvSpPr>
          <xdr:spPr>
            <a:xfrm>
              <a:off x="10906125" y="5162550"/>
              <a:ext cx="35242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h</m:t>
                        </m:r>
                        <m:r>
                          <m:rPr>
                            <m:sty m:val="p"/>
                          </m:rPr>
                          <a:rPr lang="en-US" altLang="ja-JP" sz="1000" b="0" i="0">
                            <a:solidFill>
                              <a:schemeClr val="tx1"/>
                            </a:solidFill>
                            <a:effectLst/>
                            <a:latin typeface="Cambria Math"/>
                            <a:ea typeface="+mn-ea"/>
                            <a:cs typeface="+mn-cs"/>
                          </a:rPr>
                          <m:t>H</m:t>
                        </m:r>
                      </m:sub>
                    </m:sSub>
                  </m:oMath>
                </m:oMathPara>
              </a14:m>
              <a:endParaRPr kumimoji="1" lang="ja-JP" altLang="en-US" sz="1000"/>
            </a:p>
          </xdr:txBody>
        </xdr:sp>
      </mc:Choice>
      <mc:Fallback xmlns="">
        <xdr:sp macro="" textlink="">
          <xdr:nvSpPr>
            <xdr:cNvPr id="15" name="テキスト ボックス 14"/>
            <xdr:cNvSpPr txBox="1"/>
          </xdr:nvSpPr>
          <xdr:spPr>
            <a:xfrm>
              <a:off x="10906125" y="5162550"/>
              <a:ext cx="35242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000" i="0">
                  <a:solidFill>
                    <a:schemeClr val="tx1"/>
                  </a:solidFill>
                  <a:effectLst/>
                  <a:latin typeface="Cambria Math"/>
                  <a:ea typeface="+mn-ea"/>
                  <a:cs typeface="+mn-cs"/>
                </a:rPr>
                <a:t>𝜃</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h</a:t>
              </a:r>
              <a:r>
                <a:rPr lang="en-US" altLang="ja-JP" sz="1000" b="0" i="0">
                  <a:solidFill>
                    <a:schemeClr val="tx1"/>
                  </a:solidFill>
                  <a:effectLst/>
                  <a:latin typeface="Cambria Math"/>
                  <a:ea typeface="+mn-ea"/>
                  <a:cs typeface="+mn-cs"/>
                </a:rPr>
                <a:t>H</a:t>
              </a:r>
              <a:endParaRPr kumimoji="1" lang="ja-JP" altLang="en-US" sz="1000"/>
            </a:p>
          </xdr:txBody>
        </xdr:sp>
      </mc:Fallback>
    </mc:AlternateContent>
    <xdr:clientData/>
  </xdr:oneCellAnchor>
  <xdr:oneCellAnchor>
    <xdr:from>
      <xdr:col>19</xdr:col>
      <xdr:colOff>0</xdr:colOff>
      <xdr:row>24</xdr:row>
      <xdr:rowOff>0</xdr:rowOff>
    </xdr:from>
    <xdr:ext cx="352425" cy="248851"/>
    <mc:AlternateContent xmlns:mc="http://schemas.openxmlformats.org/markup-compatibility/2006" xmlns:a14="http://schemas.microsoft.com/office/drawing/2010/main">
      <mc:Choice Requires="a14">
        <xdr:sp macro="" textlink="">
          <xdr:nvSpPr>
            <xdr:cNvPr id="16" name="テキスト ボックス 15"/>
            <xdr:cNvSpPr txBox="1"/>
          </xdr:nvSpPr>
          <xdr:spPr>
            <a:xfrm>
              <a:off x="11591925" y="5162550"/>
              <a:ext cx="35242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a:solidFill>
                              <a:schemeClr val="tx1"/>
                            </a:solidFill>
                            <a:effectLst/>
                            <a:latin typeface="Cambria Math"/>
                            <a:ea typeface="+mn-ea"/>
                            <a:cs typeface="+mn-cs"/>
                          </a:rPr>
                          <m:t>h</m:t>
                        </m:r>
                        <m:r>
                          <m:rPr>
                            <m:sty m:val="p"/>
                          </m:rPr>
                          <a:rPr lang="en-US" altLang="ja-JP" sz="1000" b="0" i="0">
                            <a:solidFill>
                              <a:schemeClr val="tx1"/>
                            </a:solidFill>
                            <a:effectLst/>
                            <a:latin typeface="Cambria Math"/>
                            <a:ea typeface="+mn-ea"/>
                            <a:cs typeface="+mn-cs"/>
                          </a:rPr>
                          <m:t>C</m:t>
                        </m:r>
                      </m:sub>
                    </m:sSub>
                  </m:oMath>
                </m:oMathPara>
              </a14:m>
              <a:endParaRPr kumimoji="1" lang="ja-JP" altLang="en-US" sz="1000"/>
            </a:p>
          </xdr:txBody>
        </xdr:sp>
      </mc:Choice>
      <mc:Fallback xmlns="">
        <xdr:sp macro="" textlink="">
          <xdr:nvSpPr>
            <xdr:cNvPr id="16" name="テキスト ボックス 15"/>
            <xdr:cNvSpPr txBox="1"/>
          </xdr:nvSpPr>
          <xdr:spPr>
            <a:xfrm>
              <a:off x="11591925" y="5162550"/>
              <a:ext cx="35242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000" i="0">
                  <a:solidFill>
                    <a:schemeClr val="tx1"/>
                  </a:solidFill>
                  <a:effectLst/>
                  <a:latin typeface="Cambria Math"/>
                  <a:ea typeface="+mn-ea"/>
                  <a:cs typeface="+mn-cs"/>
                </a:rPr>
                <a:t>𝜃</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h</a:t>
              </a:r>
              <a:r>
                <a:rPr lang="en-US" altLang="ja-JP" sz="1000" b="0" i="0">
                  <a:solidFill>
                    <a:schemeClr val="tx1"/>
                  </a:solidFill>
                  <a:effectLst/>
                  <a:latin typeface="Cambria Math"/>
                  <a:ea typeface="+mn-ea"/>
                  <a:cs typeface="+mn-cs"/>
                </a:rPr>
                <a:t>C</a:t>
              </a:r>
              <a:endParaRPr kumimoji="1" lang="ja-JP" altLang="en-US" sz="10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0</xdr:col>
          <xdr:colOff>156702</xdr:colOff>
          <xdr:row>24</xdr:row>
          <xdr:rowOff>154700</xdr:rowOff>
        </xdr:from>
        <xdr:to>
          <xdr:col>2</xdr:col>
          <xdr:colOff>89719</xdr:colOff>
          <xdr:row>25</xdr:row>
          <xdr:rowOff>200716</xdr:rowOff>
        </xdr:to>
        <xdr:pic>
          <xdr:nvPicPr>
            <xdr:cNvPr id="17" name="図 63"/>
            <xdr:cNvPicPr>
              <a:picLocks noChangeAspect="1" noChangeArrowheads="1"/>
              <a:extLst>
                <a:ext uri="{84589F7E-364E-4C9E-8A38-B11213B215E9}">
                  <a14:cameraTool cellRange="温記号" spid="_x0000_s10315"/>
                </a:ext>
              </a:extLst>
            </xdr:cNvPicPr>
          </xdr:nvPicPr>
          <xdr:blipFill>
            <a:blip xmlns:r="http://schemas.openxmlformats.org/officeDocument/2006/relationships" r:embed="rId3"/>
            <a:srcRect/>
            <a:stretch>
              <a:fillRect/>
            </a:stretch>
          </xdr:blipFill>
          <xdr:spPr bwMode="auto">
            <a:xfrm>
              <a:off x="156702" y="5313563"/>
              <a:ext cx="731888" cy="25495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235361</xdr:colOff>
          <xdr:row>24</xdr:row>
          <xdr:rowOff>159616</xdr:rowOff>
        </xdr:from>
        <xdr:to>
          <xdr:col>8</xdr:col>
          <xdr:colOff>309716</xdr:colOff>
          <xdr:row>25</xdr:row>
          <xdr:rowOff>205632</xdr:rowOff>
        </xdr:to>
        <xdr:pic>
          <xdr:nvPicPr>
            <xdr:cNvPr id="20" name="図 63"/>
            <xdr:cNvPicPr>
              <a:picLocks noChangeAspect="1" noChangeArrowheads="1"/>
              <a:extLst>
                <a:ext uri="{84589F7E-364E-4C9E-8A38-B11213B215E9}">
                  <a14:cameraTool cellRange="温記号" spid="_x0000_s10316"/>
                </a:ext>
              </a:extLst>
            </xdr:cNvPicPr>
          </xdr:nvPicPr>
          <xdr:blipFill>
            <a:blip xmlns:r="http://schemas.openxmlformats.org/officeDocument/2006/relationships" r:embed="rId4"/>
            <a:srcRect/>
            <a:stretch>
              <a:fillRect/>
            </a:stretch>
          </xdr:blipFill>
          <xdr:spPr bwMode="auto">
            <a:xfrm>
              <a:off x="4702893" y="5318479"/>
              <a:ext cx="731888" cy="25495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0</xdr:colOff>
      <xdr:row>52</xdr:row>
      <xdr:rowOff>0</xdr:rowOff>
    </xdr:from>
    <xdr:to>
      <xdr:col>10</xdr:col>
      <xdr:colOff>91072</xdr:colOff>
      <xdr:row>52</xdr:row>
      <xdr:rowOff>0</xdr:rowOff>
    </xdr:to>
    <xdr:sp macro="" textlink="">
      <xdr:nvSpPr>
        <xdr:cNvPr id="3110" name="Text Box 1062"/>
        <xdr:cNvSpPr txBox="1">
          <a:spLocks noChangeArrowheads="1"/>
        </xdr:cNvSpPr>
      </xdr:nvSpPr>
      <xdr:spPr bwMode="auto">
        <a:xfrm>
          <a:off x="3067050" y="10563225"/>
          <a:ext cx="6953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測定位置</a:t>
          </a:r>
          <a:endParaRPr lang="ja-JP" altLang="en-US"/>
        </a:p>
      </xdr:txBody>
    </xdr:sp>
    <xdr:clientData/>
  </xdr:twoCellAnchor>
  <xdr:oneCellAnchor>
    <xdr:from>
      <xdr:col>9</xdr:col>
      <xdr:colOff>552450</xdr:colOff>
      <xdr:row>46</xdr:row>
      <xdr:rowOff>0</xdr:rowOff>
    </xdr:from>
    <xdr:ext cx="65" cy="366275"/>
    <xdr:sp macro="" textlink="">
      <xdr:nvSpPr>
        <xdr:cNvPr id="3118" name="Text Box 1070"/>
        <xdr:cNvSpPr txBox="1">
          <a:spLocks noChangeArrowheads="1"/>
        </xdr:cNvSpPr>
      </xdr:nvSpPr>
      <xdr:spPr bwMode="auto">
        <a:xfrm>
          <a:off x="4480560" y="8862060"/>
          <a:ext cx="65" cy="356636"/>
        </a:xfrm>
        <a:prstGeom prst="rect">
          <a:avLst/>
        </a:prstGeom>
        <a:noFill/>
        <a:ln>
          <a:noFill/>
        </a:ln>
        <a:extLst/>
      </xdr:spPr>
      <xdr:txBody>
        <a:bodyPr wrap="none" lIns="0" tIns="0" rIns="0" bIns="0" anchor="t" upright="1">
          <a:spAutoFit/>
        </a:bodyPr>
        <a:lstStyle/>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endParaRPr lang="ja-JP" altLang="en-US"/>
        </a:p>
      </xdr:txBody>
    </xdr:sp>
    <xdr:clientData/>
  </xdr:oneCellAnchor>
  <xdr:oneCellAnchor>
    <xdr:from>
      <xdr:col>10</xdr:col>
      <xdr:colOff>0</xdr:colOff>
      <xdr:row>46</xdr:row>
      <xdr:rowOff>0</xdr:rowOff>
    </xdr:from>
    <xdr:ext cx="65" cy="366275"/>
    <xdr:sp macro="" textlink="">
      <xdr:nvSpPr>
        <xdr:cNvPr id="3120" name="Text Box 1072"/>
        <xdr:cNvSpPr txBox="1">
          <a:spLocks noChangeArrowheads="1"/>
        </xdr:cNvSpPr>
      </xdr:nvSpPr>
      <xdr:spPr bwMode="auto">
        <a:xfrm>
          <a:off x="4495800" y="8862060"/>
          <a:ext cx="65" cy="356636"/>
        </a:xfrm>
        <a:prstGeom prst="rect">
          <a:avLst/>
        </a:prstGeom>
        <a:noFill/>
        <a:ln>
          <a:noFill/>
        </a:ln>
        <a:extLst/>
      </xdr:spPr>
      <xdr:txBody>
        <a:bodyPr wrap="none" lIns="0" tIns="0" rIns="0" bIns="0" anchor="t" upright="1">
          <a:spAutoFit/>
        </a:bodyPr>
        <a:lstStyle/>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endParaRPr lang="ja-JP" altLang="en-US"/>
        </a:p>
      </xdr:txBody>
    </xdr:sp>
    <xdr:clientData/>
  </xdr:oneCellAnchor>
  <xdr:oneCellAnchor>
    <xdr:from>
      <xdr:col>9</xdr:col>
      <xdr:colOff>0</xdr:colOff>
      <xdr:row>46</xdr:row>
      <xdr:rowOff>0</xdr:rowOff>
    </xdr:from>
    <xdr:ext cx="65" cy="366275"/>
    <xdr:sp macro="" textlink="">
      <xdr:nvSpPr>
        <xdr:cNvPr id="3170" name="Text Box 1122"/>
        <xdr:cNvSpPr txBox="1">
          <a:spLocks noChangeArrowheads="1"/>
        </xdr:cNvSpPr>
      </xdr:nvSpPr>
      <xdr:spPr bwMode="auto">
        <a:xfrm>
          <a:off x="3985260" y="8862060"/>
          <a:ext cx="65" cy="356636"/>
        </a:xfrm>
        <a:prstGeom prst="rect">
          <a:avLst/>
        </a:prstGeom>
        <a:noFill/>
        <a:ln>
          <a:noFill/>
        </a:ln>
        <a:extLst/>
      </xdr:spPr>
      <xdr:txBody>
        <a:bodyPr wrap="none" lIns="0" tIns="0" rIns="0" bIns="0" anchor="t" upright="1">
          <a:spAutoFit/>
        </a:bodyPr>
        <a:lstStyle/>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endParaRPr lang="ja-JP" altLang="en-US"/>
        </a:p>
      </xdr:txBody>
    </xdr:sp>
    <xdr:clientData/>
  </xdr:oneCellAnchor>
  <xdr:twoCellAnchor editAs="oneCell">
    <xdr:from>
      <xdr:col>1</xdr:col>
      <xdr:colOff>9525</xdr:colOff>
      <xdr:row>7</xdr:row>
      <xdr:rowOff>28575</xdr:rowOff>
    </xdr:from>
    <xdr:to>
      <xdr:col>2</xdr:col>
      <xdr:colOff>476250</xdr:colOff>
      <xdr:row>7</xdr:row>
      <xdr:rowOff>180975</xdr:rowOff>
    </xdr:to>
    <xdr:pic>
      <xdr:nvPicPr>
        <xdr:cNvPr id="8433" name="Picture 176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1485900"/>
          <a:ext cx="10382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496661</xdr:colOff>
      <xdr:row>64</xdr:row>
      <xdr:rowOff>18505</xdr:rowOff>
    </xdr:from>
    <xdr:ext cx="1338149" cy="248851"/>
    <mc:AlternateContent xmlns:mc="http://schemas.openxmlformats.org/markup-compatibility/2006" xmlns:a14="http://schemas.microsoft.com/office/drawing/2010/main">
      <mc:Choice Requires="a14">
        <xdr:sp macro="" textlink="">
          <xdr:nvSpPr>
            <xdr:cNvPr id="10" name="テキスト ボックス 9"/>
            <xdr:cNvSpPr txBox="1"/>
          </xdr:nvSpPr>
          <xdr:spPr>
            <a:xfrm>
              <a:off x="496661" y="12914527"/>
              <a:ext cx="133814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00" b="1" i="1">
                            <a:solidFill>
                              <a:schemeClr val="tx1"/>
                            </a:solidFill>
                            <a:effectLst/>
                            <a:latin typeface="Cambria Math"/>
                            <a:ea typeface="+mn-ea"/>
                            <a:cs typeface="+mn-cs"/>
                          </a:rPr>
                        </m:ctrlPr>
                      </m:sSubPr>
                      <m:e>
                        <m:r>
                          <a:rPr lang="ja-JP" altLang="ja-JP" sz="1000" i="1">
                            <a:solidFill>
                              <a:schemeClr val="tx1"/>
                            </a:solidFill>
                            <a:effectLst/>
                            <a:latin typeface="Cambria Math"/>
                            <a:ea typeface="+mn-ea"/>
                            <a:cs typeface="+mn-cs"/>
                          </a:rPr>
                          <m:t>　</m:t>
                        </m:r>
                        <m:r>
                          <a:rPr lang="en-US" altLang="ja-JP" sz="1000" i="1">
                            <a:solidFill>
                              <a:schemeClr val="tx1"/>
                            </a:solidFill>
                            <a:effectLst/>
                            <a:latin typeface="Cambria Math"/>
                            <a:ea typeface="+mn-ea"/>
                            <a:cs typeface="+mn-cs"/>
                          </a:rPr>
                          <m:t>𝑄</m:t>
                        </m:r>
                      </m:e>
                      <m:sub>
                        <m:r>
                          <m:rPr>
                            <m:sty m:val="p"/>
                          </m:rPr>
                          <a:rPr lang="en-US" altLang="ja-JP" sz="1000">
                            <a:solidFill>
                              <a:schemeClr val="tx1"/>
                            </a:solidFill>
                            <a:effectLst/>
                            <a:latin typeface="Cambria Math"/>
                            <a:ea typeface="+mn-ea"/>
                            <a:cs typeface="+mn-cs"/>
                          </a:rPr>
                          <m:t>c</m:t>
                        </m:r>
                      </m:sub>
                    </m:sSub>
                    <m:r>
                      <a:rPr lang="en-US" altLang="ja-JP" sz="1000" b="1">
                        <a:solidFill>
                          <a:schemeClr val="tx1"/>
                        </a:solidFill>
                        <a:effectLst/>
                        <a:latin typeface="Cambria Math"/>
                        <a:ea typeface="+mn-ea"/>
                        <a:cs typeface="+mn-cs"/>
                      </a:rPr>
                      <m:t>=</m:t>
                    </m:r>
                    <m:sSub>
                      <m:sSubPr>
                        <m:ctrlPr>
                          <a:rPr lang="ja-JP" altLang="ja-JP" sz="1000" b="1" i="1">
                            <a:solidFill>
                              <a:schemeClr val="tx1"/>
                            </a:solidFill>
                            <a:effectLst/>
                            <a:latin typeface="Cambria Math"/>
                            <a:ea typeface="+mn-ea"/>
                            <a:cs typeface="+mn-cs"/>
                          </a:rPr>
                        </m:ctrlPr>
                      </m:sSubPr>
                      <m:e>
                        <m:r>
                          <a:rPr lang="en-US" altLang="ja-JP" sz="1000" b="0" i="1">
                            <a:solidFill>
                              <a:schemeClr val="tx1"/>
                            </a:solidFill>
                            <a:effectLst/>
                            <a:latin typeface="Cambria Math"/>
                            <a:ea typeface="+mn-ea"/>
                            <a:cs typeface="+mn-cs"/>
                          </a:rPr>
                          <m:t>𝑄</m:t>
                        </m:r>
                      </m:e>
                      <m:sub>
                        <m:r>
                          <m:rPr>
                            <m:sty m:val="p"/>
                          </m:rPr>
                          <a:rPr lang="en-US" altLang="ja-JP" sz="1000">
                            <a:solidFill>
                              <a:schemeClr val="tx1"/>
                            </a:solidFill>
                            <a:effectLst/>
                            <a:latin typeface="Cambria Math"/>
                            <a:ea typeface="+mn-ea"/>
                            <a:cs typeface="+mn-cs"/>
                          </a:rPr>
                          <m:t>c</m:t>
                        </m:r>
                        <m:r>
                          <a:rPr lang="en-US" altLang="ja-JP" sz="1000">
                            <a:solidFill>
                              <a:schemeClr val="tx1"/>
                            </a:solidFill>
                            <a:effectLst/>
                            <a:latin typeface="Cambria Math"/>
                            <a:ea typeface="+mn-ea"/>
                            <a:cs typeface="+mn-cs"/>
                          </a:rPr>
                          <m:t>0</m:t>
                        </m:r>
                      </m:sub>
                    </m:sSub>
                    <m:r>
                      <a:rPr lang="en-US" altLang="ja-JP" sz="1000" b="1" i="1">
                        <a:solidFill>
                          <a:schemeClr val="tx1"/>
                        </a:solidFill>
                        <a:effectLst/>
                        <a:latin typeface="Cambria Math"/>
                        <a:ea typeface="+mn-ea"/>
                        <a:cs typeface="+mn-cs"/>
                      </a:rPr>
                      <m:t>+</m:t>
                    </m:r>
                    <m:r>
                      <a:rPr kumimoji="1" lang="en-US" altLang="ja-JP" sz="1000" b="0" i="0">
                        <a:solidFill>
                          <a:schemeClr val="tx1"/>
                        </a:solidFill>
                        <a:effectLst/>
                        <a:latin typeface="Cambria Math"/>
                        <a:ea typeface="+mn-ea"/>
                        <a:cs typeface="+mn-cs"/>
                      </a:rPr>
                      <m:t>∆</m:t>
                    </m:r>
                    <m:sSub>
                      <m:sSubPr>
                        <m:ctrlPr>
                          <a:rPr kumimoji="1" lang="en-US" altLang="ja-JP" sz="1000" b="0" i="1">
                            <a:solidFill>
                              <a:schemeClr val="tx1"/>
                            </a:solidFill>
                            <a:effectLst/>
                            <a:latin typeface="Cambria Math"/>
                            <a:ea typeface="+mn-ea"/>
                            <a:cs typeface="+mn-cs"/>
                          </a:rPr>
                        </m:ctrlPr>
                      </m:sSubPr>
                      <m:e>
                        <m:r>
                          <a:rPr kumimoji="1" lang="en-US" altLang="ja-JP" sz="1000" b="0" i="1">
                            <a:solidFill>
                              <a:schemeClr val="tx1"/>
                            </a:solidFill>
                            <a:effectLst/>
                            <a:latin typeface="Cambria Math"/>
                            <a:ea typeface="+mn-ea"/>
                            <a:cs typeface="+mn-cs"/>
                          </a:rPr>
                          <m:t>𝑄</m:t>
                        </m:r>
                      </m:e>
                      <m:sub>
                        <m:r>
                          <m:rPr>
                            <m:sty m:val="p"/>
                          </m:rPr>
                          <a:rPr kumimoji="1" lang="en-US" altLang="ja-JP" sz="1000" b="0" i="0">
                            <a:solidFill>
                              <a:schemeClr val="tx1"/>
                            </a:solidFill>
                            <a:effectLst/>
                            <a:latin typeface="Cambria Math"/>
                            <a:ea typeface="+mn-ea"/>
                            <a:cs typeface="+mn-cs"/>
                          </a:rPr>
                          <m:t>c</m:t>
                        </m:r>
                      </m:sub>
                    </m:sSub>
                  </m:oMath>
                </m:oMathPara>
              </a14:m>
              <a:endParaRPr kumimoji="1" lang="ja-JP" altLang="en-US" sz="1000"/>
            </a:p>
          </xdr:txBody>
        </xdr:sp>
      </mc:Choice>
      <mc:Fallback xmlns="">
        <xdr:sp macro="" textlink="">
          <xdr:nvSpPr>
            <xdr:cNvPr id="10" name="テキスト ボックス 9"/>
            <xdr:cNvSpPr txBox="1"/>
          </xdr:nvSpPr>
          <xdr:spPr>
            <a:xfrm>
              <a:off x="496661" y="12914527"/>
              <a:ext cx="133814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ja-JP" altLang="ja-JP" sz="1000" b="1" i="0">
                  <a:solidFill>
                    <a:schemeClr val="tx1"/>
                  </a:solidFill>
                  <a:effectLst/>
                  <a:latin typeface="Cambria Math"/>
                  <a:ea typeface="+mn-ea"/>
                  <a:cs typeface="+mn-cs"/>
                </a:rPr>
                <a:t>〖</a:t>
              </a:r>
              <a:r>
                <a:rPr lang="ja-JP" altLang="ja-JP" sz="1000" i="0">
                  <a:solidFill>
                    <a:schemeClr val="tx1"/>
                  </a:solidFill>
                  <a:effectLst/>
                  <a:latin typeface="Cambria Math"/>
                  <a:ea typeface="+mn-ea"/>
                  <a:cs typeface="+mn-cs"/>
                </a:rPr>
                <a:t>　</a:t>
              </a:r>
              <a:r>
                <a:rPr lang="en-US" altLang="ja-JP" sz="1000" i="0">
                  <a:solidFill>
                    <a:schemeClr val="tx1"/>
                  </a:solidFill>
                  <a:effectLst/>
                  <a:latin typeface="Cambria Math"/>
                  <a:ea typeface="+mn-ea"/>
                  <a:cs typeface="+mn-cs"/>
                </a:rPr>
                <a:t>𝑄</a:t>
              </a:r>
              <a:r>
                <a:rPr lang="ja-JP" altLang="ja-JP" sz="1000" b="1"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c</a:t>
              </a:r>
              <a:r>
                <a:rPr lang="en-US" altLang="ja-JP" sz="1000" b="1" i="0">
                  <a:solidFill>
                    <a:schemeClr val="tx1"/>
                  </a:solidFill>
                  <a:effectLst/>
                  <a:latin typeface="Cambria Math"/>
                  <a:ea typeface="+mn-ea"/>
                  <a:cs typeface="+mn-cs"/>
                </a:rPr>
                <a:t>=</a:t>
              </a:r>
              <a:r>
                <a:rPr lang="en-US" altLang="ja-JP" sz="1000" b="0" i="0">
                  <a:solidFill>
                    <a:schemeClr val="tx1"/>
                  </a:solidFill>
                  <a:effectLst/>
                  <a:latin typeface="Cambria Math"/>
                  <a:ea typeface="+mn-ea"/>
                  <a:cs typeface="+mn-cs"/>
                </a:rPr>
                <a:t>𝑄</a:t>
              </a:r>
              <a:r>
                <a:rPr lang="ja-JP" altLang="ja-JP" sz="1000" b="1"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c0</a:t>
              </a:r>
              <a:r>
                <a:rPr lang="en-US" altLang="ja-JP" sz="1000" b="1" i="0">
                  <a:solidFill>
                    <a:schemeClr val="tx1"/>
                  </a:solidFill>
                  <a:effectLst/>
                  <a:latin typeface="Cambria Math"/>
                  <a:ea typeface="+mn-ea"/>
                  <a:cs typeface="+mn-cs"/>
                </a:rPr>
                <a:t>+</a:t>
              </a:r>
              <a:r>
                <a:rPr kumimoji="1" lang="en-US" altLang="ja-JP" sz="1000" b="0" i="0">
                  <a:solidFill>
                    <a:schemeClr val="tx1"/>
                  </a:solidFill>
                  <a:effectLst/>
                  <a:latin typeface="Cambria Math"/>
                  <a:ea typeface="+mn-ea"/>
                  <a:cs typeface="+mn-cs"/>
                </a:rPr>
                <a:t>∆𝑄_c</a:t>
              </a:r>
              <a:endParaRPr kumimoji="1" lang="ja-JP" altLang="en-US" sz="1000"/>
            </a:p>
          </xdr:txBody>
        </xdr:sp>
      </mc:Fallback>
    </mc:AlternateContent>
    <xdr:clientData/>
  </xdr:oneCellAnchor>
  <xdr:oneCellAnchor>
    <xdr:from>
      <xdr:col>2</xdr:col>
      <xdr:colOff>615346</xdr:colOff>
      <xdr:row>63</xdr:row>
      <xdr:rowOff>142939</xdr:rowOff>
    </xdr:from>
    <xdr:ext cx="1809750" cy="382733"/>
    <mc:AlternateContent xmlns:mc="http://schemas.openxmlformats.org/markup-compatibility/2006" xmlns:a14="http://schemas.microsoft.com/office/drawing/2010/main">
      <mc:Choice Requires="a14">
        <xdr:sp macro="" textlink="">
          <xdr:nvSpPr>
            <xdr:cNvPr id="5" name="テキスト ボックス 4"/>
            <xdr:cNvSpPr txBox="1"/>
          </xdr:nvSpPr>
          <xdr:spPr>
            <a:xfrm>
              <a:off x="1812775" y="12770368"/>
              <a:ext cx="1809750" cy="382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altLang="ja-JP" sz="1000">
                        <a:solidFill>
                          <a:schemeClr val="tx1"/>
                        </a:solidFill>
                        <a:effectLst/>
                        <a:latin typeface="Cambria Math"/>
                        <a:ea typeface="+mn-ea"/>
                        <a:cs typeface="+mn-cs"/>
                      </a:rPr>
                      <m:t>∆</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𝑄</m:t>
                        </m:r>
                      </m:e>
                      <m:sub>
                        <m:r>
                          <m:rPr>
                            <m:sty m:val="p"/>
                          </m:rPr>
                          <a:rPr lang="en-US" altLang="ja-JP" sz="1000" i="0">
                            <a:solidFill>
                              <a:schemeClr val="tx1"/>
                            </a:solidFill>
                            <a:effectLst/>
                            <a:latin typeface="Cambria Math"/>
                            <a:ea typeface="+mn-ea"/>
                            <a:cs typeface="+mn-cs"/>
                          </a:rPr>
                          <m:t>c</m:t>
                        </m:r>
                      </m:sub>
                    </m:sSub>
                    <m:r>
                      <a:rPr lang="en-US" altLang="ja-JP" sz="1000" i="1">
                        <a:solidFill>
                          <a:schemeClr val="tx1"/>
                        </a:solidFill>
                        <a:effectLst/>
                        <a:latin typeface="Cambria Math"/>
                        <a:ea typeface="+mn-ea"/>
                        <a:cs typeface="+mn-cs"/>
                      </a:rPr>
                      <m:t>=</m:t>
                    </m:r>
                    <m:f>
                      <m:fPr>
                        <m:ctrlPr>
                          <a:rPr lang="ja-JP" altLang="ja-JP" sz="1000" i="1">
                            <a:solidFill>
                              <a:schemeClr val="tx1"/>
                            </a:solidFill>
                            <a:effectLst/>
                            <a:latin typeface="Cambria Math"/>
                            <a:ea typeface="+mn-ea"/>
                            <a:cs typeface="+mn-cs"/>
                          </a:rPr>
                        </m:ctrlPr>
                      </m:fPr>
                      <m:num>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𝐶</m:t>
                            </m:r>
                          </m:e>
                          <m:sub>
                            <m:r>
                              <m:rPr>
                                <m:sty m:val="p"/>
                              </m:rPr>
                              <a:rPr lang="en-US" altLang="ja-JP" sz="1000" i="0">
                                <a:solidFill>
                                  <a:schemeClr val="tx1"/>
                                </a:solidFill>
                                <a:effectLst/>
                                <a:latin typeface="Cambria Math"/>
                                <a:ea typeface="+mn-ea"/>
                                <a:cs typeface="+mn-cs"/>
                              </a:rPr>
                              <m:t>d</m:t>
                            </m:r>
                          </m:sub>
                        </m:sSub>
                        <m:r>
                          <a:rPr lang="en-US" altLang="ja-JP" sz="1000" i="1">
                            <a:solidFill>
                              <a:schemeClr val="tx1"/>
                            </a:solidFill>
                            <a:effectLst/>
                            <a:latin typeface="Cambria Math"/>
                            <a:ea typeface="+mn-ea"/>
                            <a:cs typeface="+mn-cs"/>
                          </a:rPr>
                          <m:t>∆</m:t>
                        </m:r>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𝜃</m:t>
                            </m:r>
                          </m:e>
                          <m:sub>
                            <m:r>
                              <m:rPr>
                                <m:sty m:val="p"/>
                              </m:rPr>
                              <a:rPr lang="en-US" altLang="ja-JP" sz="1000" i="0">
                                <a:solidFill>
                                  <a:schemeClr val="tx1"/>
                                </a:solidFill>
                                <a:effectLst/>
                                <a:latin typeface="Cambria Math"/>
                                <a:ea typeface="+mn-ea"/>
                                <a:cs typeface="+mn-cs"/>
                              </a:rPr>
                              <m:t>d</m:t>
                            </m:r>
                          </m:sub>
                        </m:sSub>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𝑚</m:t>
                            </m:r>
                          </m:e>
                          <m:sub>
                            <m:r>
                              <m:rPr>
                                <m:sty m:val="p"/>
                              </m:rPr>
                              <a:rPr lang="en-US" altLang="ja-JP" sz="1000" i="0">
                                <a:solidFill>
                                  <a:schemeClr val="tx1"/>
                                </a:solidFill>
                                <a:effectLst/>
                                <a:latin typeface="Cambria Math"/>
                                <a:ea typeface="+mn-ea"/>
                                <a:cs typeface="+mn-cs"/>
                              </a:rPr>
                              <m:t>d</m:t>
                            </m:r>
                          </m:sub>
                        </m:sSub>
                        <m:sSub>
                          <m:sSubPr>
                            <m:ctrlPr>
                              <a:rPr lang="ja-JP" altLang="ja-JP" sz="1000" i="1">
                                <a:solidFill>
                                  <a:schemeClr val="tx1"/>
                                </a:solidFill>
                                <a:effectLst/>
                                <a:latin typeface="Cambria Math"/>
                                <a:ea typeface="+mn-ea"/>
                                <a:cs typeface="+mn-cs"/>
                              </a:rPr>
                            </m:ctrlPr>
                          </m:sSubPr>
                          <m:e>
                            <m:r>
                              <a:rPr lang="en-US" altLang="ja-JP" sz="1000" i="1">
                                <a:solidFill>
                                  <a:schemeClr val="tx1"/>
                                </a:solidFill>
                                <a:effectLst/>
                                <a:latin typeface="Cambria Math"/>
                                <a:ea typeface="+mn-ea"/>
                                <a:cs typeface="+mn-cs"/>
                              </a:rPr>
                              <m:t>𝑉</m:t>
                            </m:r>
                          </m:e>
                          <m:sub>
                            <m:r>
                              <m:rPr>
                                <m:sty m:val="p"/>
                              </m:rPr>
                              <a:rPr lang="en-US" altLang="ja-JP" sz="1000" i="0">
                                <a:solidFill>
                                  <a:schemeClr val="tx1"/>
                                </a:solidFill>
                                <a:effectLst/>
                                <a:latin typeface="Cambria Math"/>
                                <a:ea typeface="+mn-ea"/>
                                <a:cs typeface="+mn-cs"/>
                              </a:rPr>
                              <m:t>c</m:t>
                            </m:r>
                          </m:sub>
                        </m:sSub>
                      </m:num>
                      <m:den>
                        <m:r>
                          <a:rPr lang="en-US" altLang="ja-JP" sz="1000" i="1">
                            <a:solidFill>
                              <a:schemeClr val="tx1"/>
                            </a:solidFill>
                            <a:effectLst/>
                            <a:latin typeface="Cambria Math"/>
                            <a:ea typeface="+mn-ea"/>
                            <a:cs typeface="+mn-cs"/>
                          </a:rPr>
                          <m:t>3600</m:t>
                        </m:r>
                      </m:den>
                    </m:f>
                    <m:r>
                      <a:rPr lang="ja-JP" altLang="ja-JP" sz="1000">
                        <a:solidFill>
                          <a:schemeClr val="tx1"/>
                        </a:solidFill>
                        <a:effectLst/>
                        <a:latin typeface="Cambria Math"/>
                        <a:ea typeface="+mn-ea"/>
                        <a:cs typeface="+mn-cs"/>
                      </a:rPr>
                      <m:t>　</m:t>
                    </m:r>
                  </m:oMath>
                </m:oMathPara>
              </a14:m>
              <a:endParaRPr kumimoji="1" lang="ja-JP" altLang="en-US" sz="1000"/>
            </a:p>
          </xdr:txBody>
        </xdr:sp>
      </mc:Choice>
      <mc:Fallback xmlns="">
        <xdr:sp macro="" textlink="">
          <xdr:nvSpPr>
            <xdr:cNvPr id="5" name="テキスト ボックス 4"/>
            <xdr:cNvSpPr txBox="1"/>
          </xdr:nvSpPr>
          <xdr:spPr>
            <a:xfrm>
              <a:off x="1812775" y="12770368"/>
              <a:ext cx="1809750" cy="382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000" i="0">
                  <a:solidFill>
                    <a:schemeClr val="tx1"/>
                  </a:solidFill>
                  <a:effectLst/>
                  <a:latin typeface="Cambria Math"/>
                  <a:ea typeface="+mn-ea"/>
                  <a:cs typeface="+mn-cs"/>
                </a:rPr>
                <a:t>∆𝑄</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c=</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𝐶</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d ∆𝜃</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d</a:t>
              </a:r>
              <a:r>
                <a:rPr lang="ja-JP" altLang="ja-JP" sz="1000" i="0">
                  <a:solidFill>
                    <a:schemeClr val="tx1"/>
                  </a:solidFill>
                  <a:effectLst/>
                  <a:latin typeface="Cambria Math"/>
                  <a:ea typeface="+mn-ea"/>
                  <a:cs typeface="+mn-cs"/>
                </a:rPr>
                <a:t> </a:t>
              </a:r>
              <a:r>
                <a:rPr lang="en-US" altLang="ja-JP" sz="1000" i="0">
                  <a:solidFill>
                    <a:schemeClr val="tx1"/>
                  </a:solidFill>
                  <a:effectLst/>
                  <a:latin typeface="Cambria Math"/>
                  <a:ea typeface="+mn-ea"/>
                  <a:cs typeface="+mn-cs"/>
                </a:rPr>
                <a:t>𝑚</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d</a:t>
              </a:r>
              <a:r>
                <a:rPr lang="ja-JP" altLang="ja-JP" sz="1000" i="0">
                  <a:solidFill>
                    <a:schemeClr val="tx1"/>
                  </a:solidFill>
                  <a:effectLst/>
                  <a:latin typeface="Cambria Math"/>
                  <a:ea typeface="+mn-ea"/>
                  <a:cs typeface="+mn-cs"/>
                </a:rPr>
                <a:t> </a:t>
              </a:r>
              <a:r>
                <a:rPr lang="en-US" altLang="ja-JP" sz="1000" i="0">
                  <a:solidFill>
                    <a:schemeClr val="tx1"/>
                  </a:solidFill>
                  <a:effectLst/>
                  <a:latin typeface="Cambria Math"/>
                  <a:ea typeface="+mn-ea"/>
                  <a:cs typeface="+mn-cs"/>
                </a:rPr>
                <a:t>𝑉</a:t>
              </a:r>
              <a:r>
                <a:rPr lang="ja-JP" altLang="ja-JP" sz="1000" i="0">
                  <a:solidFill>
                    <a:schemeClr val="tx1"/>
                  </a:solidFill>
                  <a:effectLst/>
                  <a:latin typeface="Cambria Math"/>
                  <a:ea typeface="+mn-ea"/>
                  <a:cs typeface="+mn-cs"/>
                </a:rPr>
                <a:t>_</a:t>
              </a:r>
              <a:r>
                <a:rPr lang="en-US" altLang="ja-JP" sz="1000" i="0">
                  <a:solidFill>
                    <a:schemeClr val="tx1"/>
                  </a:solidFill>
                  <a:effectLst/>
                  <a:latin typeface="Cambria Math"/>
                  <a:ea typeface="+mn-ea"/>
                  <a:cs typeface="+mn-cs"/>
                </a:rPr>
                <a:t>c</a:t>
              </a:r>
              <a:r>
                <a:rPr lang="ja-JP" altLang="ja-JP" sz="1000" i="0">
                  <a:solidFill>
                    <a:schemeClr val="tx1"/>
                  </a:solidFill>
                  <a:effectLst/>
                  <a:latin typeface="Cambria Math"/>
                  <a:ea typeface="+mn-ea"/>
                  <a:cs typeface="+mn-cs"/>
                </a:rPr>
                <a:t>)/</a:t>
              </a:r>
              <a:r>
                <a:rPr lang="en-US" altLang="ja-JP" sz="1000" i="0">
                  <a:solidFill>
                    <a:schemeClr val="tx1"/>
                  </a:solidFill>
                  <a:effectLst/>
                  <a:latin typeface="Cambria Math"/>
                  <a:ea typeface="+mn-ea"/>
                  <a:cs typeface="+mn-cs"/>
                </a:rPr>
                <a:t>3600</a:t>
              </a:r>
              <a:r>
                <a:rPr lang="ja-JP" altLang="ja-JP" sz="1000" i="0">
                  <a:solidFill>
                    <a:schemeClr val="tx1"/>
                  </a:solidFill>
                  <a:effectLst/>
                  <a:latin typeface="Cambria Math"/>
                  <a:ea typeface="+mn-ea"/>
                  <a:cs typeface="+mn-cs"/>
                </a:rPr>
                <a:t>　</a:t>
              </a:r>
              <a:endParaRPr kumimoji="1" lang="ja-JP" altLang="en-US" sz="1000"/>
            </a:p>
          </xdr:txBody>
        </xdr:sp>
      </mc:Fallback>
    </mc:AlternateContent>
    <xdr:clientData/>
  </xdr:oneCellAnchor>
  <xdr:oneCellAnchor>
    <xdr:from>
      <xdr:col>0</xdr:col>
      <xdr:colOff>366235</xdr:colOff>
      <xdr:row>75</xdr:row>
      <xdr:rowOff>262097</xdr:rowOff>
    </xdr:from>
    <xdr:ext cx="1231360" cy="422360"/>
    <mc:AlternateContent xmlns:mc="http://schemas.openxmlformats.org/markup-compatibility/2006" xmlns:a14="http://schemas.microsoft.com/office/drawing/2010/main">
      <mc:Choice Requires="a14">
        <xdr:sp macro="" textlink="">
          <xdr:nvSpPr>
            <xdr:cNvPr id="6" name="テキスト ボックス 5"/>
            <xdr:cNvSpPr txBox="1"/>
          </xdr:nvSpPr>
          <xdr:spPr>
            <a:xfrm>
              <a:off x="366235" y="15257168"/>
              <a:ext cx="1231360" cy="42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050" b="1" i="1">
                            <a:solidFill>
                              <a:schemeClr val="tx1"/>
                            </a:solidFill>
                            <a:effectLst/>
                            <a:latin typeface="Cambria Math"/>
                            <a:ea typeface="+mn-ea"/>
                            <a:cs typeface="+mn-cs"/>
                          </a:rPr>
                        </m:ctrlPr>
                      </m:sSubPr>
                      <m:e>
                        <m:r>
                          <a:rPr lang="ja-JP" altLang="ja-JP" sz="1050" i="1">
                            <a:solidFill>
                              <a:schemeClr val="tx1"/>
                            </a:solidFill>
                            <a:effectLst/>
                            <a:latin typeface="Cambria Math"/>
                            <a:ea typeface="+mn-ea"/>
                            <a:cs typeface="+mn-cs"/>
                          </a:rPr>
                          <m:t>　</m:t>
                        </m:r>
                        <m:r>
                          <a:rPr lang="en-US" altLang="ja-JP" sz="1050" i="1">
                            <a:solidFill>
                              <a:schemeClr val="tx1"/>
                            </a:solidFill>
                            <a:effectLst/>
                            <a:latin typeface="Cambria Math"/>
                            <a:ea typeface="+mn-ea"/>
                            <a:cs typeface="+mn-cs"/>
                          </a:rPr>
                          <m:t>𝑄</m:t>
                        </m:r>
                      </m:e>
                      <m:sub>
                        <m:r>
                          <m:rPr>
                            <m:sty m:val="p"/>
                          </m:rPr>
                          <a:rPr lang="en-US" altLang="ja-JP" sz="1050">
                            <a:solidFill>
                              <a:schemeClr val="tx1"/>
                            </a:solidFill>
                            <a:effectLst/>
                            <a:latin typeface="Cambria Math"/>
                            <a:ea typeface="+mn-ea"/>
                            <a:cs typeface="+mn-cs"/>
                          </a:rPr>
                          <m:t>i</m:t>
                        </m:r>
                      </m:sub>
                    </m:sSub>
                    <m:r>
                      <a:rPr lang="en-US" altLang="ja-JP" sz="1050" b="1">
                        <a:solidFill>
                          <a:schemeClr val="tx1"/>
                        </a:solidFill>
                        <a:effectLst/>
                        <a:latin typeface="Cambria Math"/>
                        <a:ea typeface="+mn-ea"/>
                        <a:cs typeface="+mn-cs"/>
                      </a:rPr>
                      <m:t>=</m:t>
                    </m:r>
                    <m:sSub>
                      <m:sSubPr>
                        <m:ctrlPr>
                          <a:rPr lang="ja-JP" altLang="ja-JP" sz="1050" b="1" i="1">
                            <a:solidFill>
                              <a:schemeClr val="tx1"/>
                            </a:solidFill>
                            <a:effectLst/>
                            <a:latin typeface="Cambria Math"/>
                            <a:ea typeface="+mn-ea"/>
                            <a:cs typeface="+mn-cs"/>
                          </a:rPr>
                        </m:ctrlPr>
                      </m:sSubPr>
                      <m:e>
                        <m:r>
                          <a:rPr lang="en-US" altLang="ja-JP" sz="1050" i="1">
                            <a:solidFill>
                              <a:schemeClr val="tx1"/>
                            </a:solidFill>
                            <a:effectLst/>
                            <a:latin typeface="Cambria Math"/>
                            <a:ea typeface="+mn-ea"/>
                            <a:cs typeface="+mn-cs"/>
                          </a:rPr>
                          <m:t>𝑃</m:t>
                        </m:r>
                      </m:e>
                      <m:sub>
                        <m:r>
                          <m:rPr>
                            <m:sty m:val="p"/>
                          </m:rPr>
                          <a:rPr lang="en-US" altLang="ja-JP" sz="1050">
                            <a:solidFill>
                              <a:schemeClr val="tx1"/>
                            </a:solidFill>
                            <a:effectLst/>
                            <a:latin typeface="Cambria Math"/>
                            <a:ea typeface="+mn-ea"/>
                            <a:cs typeface="+mn-cs"/>
                          </a:rPr>
                          <m:t>i</m:t>
                        </m:r>
                      </m:sub>
                    </m:sSub>
                    <m:f>
                      <m:fPr>
                        <m:ctrlPr>
                          <a:rPr lang="ja-JP" altLang="ja-JP" sz="1050" b="1" i="1">
                            <a:solidFill>
                              <a:schemeClr val="tx1"/>
                            </a:solidFill>
                            <a:effectLst/>
                            <a:latin typeface="Cambria Math"/>
                            <a:ea typeface="+mn-ea"/>
                            <a:cs typeface="+mn-cs"/>
                          </a:rPr>
                        </m:ctrlPr>
                      </m:fPr>
                      <m:num>
                        <m:r>
                          <a:rPr lang="en-US" altLang="ja-JP" sz="1050">
                            <a:solidFill>
                              <a:schemeClr val="tx1"/>
                            </a:solidFill>
                            <a:effectLst/>
                            <a:latin typeface="Cambria Math"/>
                            <a:ea typeface="+mn-ea"/>
                            <a:cs typeface="+mn-cs"/>
                          </a:rPr>
                          <m:t>60</m:t>
                        </m:r>
                      </m:num>
                      <m:den>
                        <m:sSub>
                          <m:sSubPr>
                            <m:ctrlPr>
                              <a:rPr lang="ja-JP" altLang="ja-JP" sz="1050" b="1" i="1">
                                <a:solidFill>
                                  <a:schemeClr val="tx1"/>
                                </a:solidFill>
                                <a:effectLst/>
                                <a:latin typeface="Cambria Math"/>
                                <a:ea typeface="+mn-ea"/>
                                <a:cs typeface="+mn-cs"/>
                              </a:rPr>
                            </m:ctrlPr>
                          </m:sSubPr>
                          <m:e>
                            <m:r>
                              <a:rPr lang="en-US" altLang="ja-JP" sz="1050" i="1">
                                <a:solidFill>
                                  <a:schemeClr val="tx1"/>
                                </a:solidFill>
                                <a:effectLst/>
                                <a:latin typeface="Cambria Math"/>
                                <a:ea typeface="+mn-ea"/>
                                <a:cs typeface="+mn-cs"/>
                              </a:rPr>
                              <m:t>𝑇</m:t>
                            </m:r>
                          </m:e>
                          <m:sub>
                            <m:r>
                              <m:rPr>
                                <m:sty m:val="p"/>
                              </m:rPr>
                              <a:rPr lang="en-US" altLang="ja-JP" sz="1050">
                                <a:solidFill>
                                  <a:schemeClr val="tx1"/>
                                </a:solidFill>
                                <a:effectLst/>
                                <a:latin typeface="Cambria Math"/>
                                <a:ea typeface="+mn-ea"/>
                                <a:cs typeface="+mn-cs"/>
                              </a:rPr>
                              <m:t>i</m:t>
                            </m:r>
                          </m:sub>
                        </m:sSub>
                      </m:den>
                    </m:f>
                    <m:r>
                      <a:rPr lang="ja-JP" altLang="ja-JP" sz="1050">
                        <a:solidFill>
                          <a:schemeClr val="tx1"/>
                        </a:solidFill>
                        <a:effectLst/>
                        <a:latin typeface="Cambria Math"/>
                        <a:ea typeface="+mn-ea"/>
                        <a:cs typeface="+mn-cs"/>
                      </a:rPr>
                      <m:t>　</m:t>
                    </m:r>
                  </m:oMath>
                </m:oMathPara>
              </a14:m>
              <a:endParaRPr kumimoji="1" lang="ja-JP" altLang="en-US" sz="1050"/>
            </a:p>
          </xdr:txBody>
        </xdr:sp>
      </mc:Choice>
      <mc:Fallback xmlns="">
        <xdr:sp macro="" textlink="">
          <xdr:nvSpPr>
            <xdr:cNvPr id="6" name="テキスト ボックス 5"/>
            <xdr:cNvSpPr txBox="1"/>
          </xdr:nvSpPr>
          <xdr:spPr>
            <a:xfrm>
              <a:off x="366235" y="15257168"/>
              <a:ext cx="1231360" cy="42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ja-JP" altLang="ja-JP" sz="1050" b="1" i="0">
                  <a:solidFill>
                    <a:schemeClr val="tx1"/>
                  </a:solidFill>
                  <a:effectLst/>
                  <a:latin typeface="Cambria Math"/>
                  <a:ea typeface="+mn-ea"/>
                  <a:cs typeface="+mn-cs"/>
                </a:rPr>
                <a:t>〖</a:t>
              </a:r>
              <a:r>
                <a:rPr lang="ja-JP" altLang="ja-JP" sz="1050" i="0">
                  <a:solidFill>
                    <a:schemeClr val="tx1"/>
                  </a:solidFill>
                  <a:effectLst/>
                  <a:latin typeface="Cambria Math"/>
                  <a:ea typeface="+mn-ea"/>
                  <a:cs typeface="+mn-cs"/>
                </a:rPr>
                <a:t>　</a:t>
              </a:r>
              <a:r>
                <a:rPr lang="en-US" altLang="ja-JP" sz="1050" i="0">
                  <a:solidFill>
                    <a:schemeClr val="tx1"/>
                  </a:solidFill>
                  <a:effectLst/>
                  <a:latin typeface="Cambria Math"/>
                  <a:ea typeface="+mn-ea"/>
                  <a:cs typeface="+mn-cs"/>
                </a:rPr>
                <a:t>𝑄</a:t>
              </a:r>
              <a:r>
                <a:rPr lang="ja-JP" altLang="ja-JP" sz="1050" b="1" i="0">
                  <a:solidFill>
                    <a:schemeClr val="tx1"/>
                  </a:solidFill>
                  <a:effectLst/>
                  <a:latin typeface="Cambria Math"/>
                  <a:ea typeface="+mn-ea"/>
                  <a:cs typeface="+mn-cs"/>
                </a:rPr>
                <a:t>〗_</a:t>
              </a:r>
              <a:r>
                <a:rPr lang="en-US" altLang="ja-JP" sz="1050" i="0">
                  <a:solidFill>
                    <a:schemeClr val="tx1"/>
                  </a:solidFill>
                  <a:effectLst/>
                  <a:latin typeface="Cambria Math"/>
                  <a:ea typeface="+mn-ea"/>
                  <a:cs typeface="+mn-cs"/>
                </a:rPr>
                <a:t>i</a:t>
              </a:r>
              <a:r>
                <a:rPr lang="en-US" altLang="ja-JP" sz="1050" b="1" i="0">
                  <a:solidFill>
                    <a:schemeClr val="tx1"/>
                  </a:solidFill>
                  <a:effectLst/>
                  <a:latin typeface="Cambria Math"/>
                  <a:ea typeface="+mn-ea"/>
                  <a:cs typeface="+mn-cs"/>
                </a:rPr>
                <a:t>=</a:t>
              </a:r>
              <a:r>
                <a:rPr lang="en-US" altLang="ja-JP" sz="1050" i="0">
                  <a:solidFill>
                    <a:schemeClr val="tx1"/>
                  </a:solidFill>
                  <a:effectLst/>
                  <a:latin typeface="Cambria Math"/>
                  <a:ea typeface="+mn-ea"/>
                  <a:cs typeface="+mn-cs"/>
                </a:rPr>
                <a:t>𝑃</a:t>
              </a:r>
              <a:r>
                <a:rPr lang="ja-JP" altLang="ja-JP" sz="1050" b="1" i="0">
                  <a:solidFill>
                    <a:schemeClr val="tx1"/>
                  </a:solidFill>
                  <a:effectLst/>
                  <a:latin typeface="Cambria Math"/>
                  <a:ea typeface="+mn-ea"/>
                  <a:cs typeface="+mn-cs"/>
                </a:rPr>
                <a:t>_</a:t>
              </a:r>
              <a:r>
                <a:rPr lang="en-US" altLang="ja-JP" sz="1050" i="0">
                  <a:solidFill>
                    <a:schemeClr val="tx1"/>
                  </a:solidFill>
                  <a:effectLst/>
                  <a:latin typeface="Cambria Math"/>
                  <a:ea typeface="+mn-ea"/>
                  <a:cs typeface="+mn-cs"/>
                </a:rPr>
                <a:t>i</a:t>
              </a:r>
              <a:r>
                <a:rPr lang="ja-JP" altLang="ja-JP" sz="1050" b="1" i="0">
                  <a:solidFill>
                    <a:schemeClr val="tx1"/>
                  </a:solidFill>
                  <a:effectLst/>
                  <a:latin typeface="Cambria Math"/>
                  <a:ea typeface="+mn-ea"/>
                  <a:cs typeface="+mn-cs"/>
                </a:rPr>
                <a:t> </a:t>
              </a:r>
              <a:r>
                <a:rPr lang="en-US" altLang="ja-JP" sz="1050" i="0">
                  <a:solidFill>
                    <a:schemeClr val="tx1"/>
                  </a:solidFill>
                  <a:effectLst/>
                  <a:latin typeface="Cambria Math"/>
                  <a:ea typeface="+mn-ea"/>
                  <a:cs typeface="+mn-cs"/>
                </a:rPr>
                <a:t> 60</a:t>
              </a:r>
              <a:r>
                <a:rPr lang="ja-JP" altLang="ja-JP" sz="1050" b="1" i="0">
                  <a:solidFill>
                    <a:schemeClr val="tx1"/>
                  </a:solidFill>
                  <a:effectLst/>
                  <a:latin typeface="Cambria Math"/>
                  <a:ea typeface="+mn-ea"/>
                  <a:cs typeface="+mn-cs"/>
                </a:rPr>
                <a:t>/</a:t>
              </a:r>
              <a:r>
                <a:rPr lang="en-US" altLang="ja-JP" sz="1050" i="0">
                  <a:solidFill>
                    <a:schemeClr val="tx1"/>
                  </a:solidFill>
                  <a:effectLst/>
                  <a:latin typeface="Cambria Math"/>
                  <a:ea typeface="+mn-ea"/>
                  <a:cs typeface="+mn-cs"/>
                </a:rPr>
                <a:t>𝑇</a:t>
              </a:r>
              <a:r>
                <a:rPr lang="ja-JP" altLang="ja-JP" sz="1050" b="1" i="0">
                  <a:solidFill>
                    <a:schemeClr val="tx1"/>
                  </a:solidFill>
                  <a:effectLst/>
                  <a:latin typeface="Cambria Math"/>
                  <a:ea typeface="+mn-ea"/>
                  <a:cs typeface="+mn-cs"/>
                </a:rPr>
                <a:t>_</a:t>
              </a:r>
              <a:r>
                <a:rPr lang="en-US" altLang="ja-JP" sz="1050" i="0">
                  <a:solidFill>
                    <a:schemeClr val="tx1"/>
                  </a:solidFill>
                  <a:effectLst/>
                  <a:latin typeface="Cambria Math"/>
                  <a:ea typeface="+mn-ea"/>
                  <a:cs typeface="+mn-cs"/>
                </a:rPr>
                <a:t>i</a:t>
              </a:r>
              <a:r>
                <a:rPr lang="en-US" altLang="ja-JP" sz="1050" b="1" i="0">
                  <a:solidFill>
                    <a:schemeClr val="tx1"/>
                  </a:solidFill>
                  <a:effectLst/>
                  <a:latin typeface="Cambria Math"/>
                  <a:ea typeface="+mn-ea"/>
                  <a:cs typeface="+mn-cs"/>
                </a:rPr>
                <a:t> </a:t>
              </a:r>
              <a:r>
                <a:rPr lang="ja-JP" altLang="ja-JP" sz="1050" i="0">
                  <a:solidFill>
                    <a:schemeClr val="tx1"/>
                  </a:solidFill>
                  <a:effectLst/>
                  <a:latin typeface="Cambria Math"/>
                  <a:ea typeface="+mn-ea"/>
                  <a:cs typeface="+mn-cs"/>
                </a:rPr>
                <a:t>　</a:t>
              </a:r>
              <a:endParaRPr kumimoji="1" lang="ja-JP" altLang="en-US" sz="1050"/>
            </a:p>
          </xdr:txBody>
        </xdr:sp>
      </mc:Fallback>
    </mc:AlternateContent>
    <xdr:clientData/>
  </xdr:oneCellAnchor>
  <xdr:oneCellAnchor>
    <xdr:from>
      <xdr:col>0</xdr:col>
      <xdr:colOff>495299</xdr:colOff>
      <xdr:row>89</xdr:row>
      <xdr:rowOff>16731</xdr:rowOff>
    </xdr:from>
    <xdr:ext cx="3298487" cy="264560"/>
    <mc:AlternateContent xmlns:mc="http://schemas.openxmlformats.org/markup-compatibility/2006" xmlns:a14="http://schemas.microsoft.com/office/drawing/2010/main">
      <mc:Choice Requires="a14">
        <xdr:sp macro="" textlink="">
          <xdr:nvSpPr>
            <xdr:cNvPr id="7" name="テキスト ボックス 6"/>
            <xdr:cNvSpPr txBox="1"/>
          </xdr:nvSpPr>
          <xdr:spPr>
            <a:xfrm>
              <a:off x="495299" y="17882318"/>
              <a:ext cx="32984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i="0">
                            <a:solidFill>
                              <a:schemeClr val="tx1"/>
                            </a:solidFill>
                            <a:effectLst/>
                            <a:latin typeface="Cambria Math"/>
                            <a:ea typeface="+mn-ea"/>
                            <a:cs typeface="+mn-cs"/>
                          </a:rPr>
                          <m:t>s</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m:rPr>
                            <m:sty m:val="p"/>
                          </m:rPr>
                          <a:rPr lang="en-US" altLang="ja-JP" sz="1100" i="0">
                            <a:solidFill>
                              <a:schemeClr val="tx1"/>
                            </a:solidFill>
                            <a:effectLst/>
                            <a:latin typeface="Cambria Math"/>
                            <a:ea typeface="+mn-ea"/>
                            <a:cs typeface="+mn-cs"/>
                          </a:rPr>
                          <m:t>c</m:t>
                        </m:r>
                      </m:sub>
                    </m:sSub>
                    <m:sSub>
                      <m:sSubPr>
                        <m:ctrlPr>
                          <a:rPr lang="ja-JP" altLang="ja-JP" sz="1100" i="1">
                            <a:solidFill>
                              <a:schemeClr val="tx1"/>
                            </a:solidFill>
                            <a:effectLst/>
                            <a:latin typeface="Cambria Math"/>
                            <a:ea typeface="+mn-ea"/>
                            <a:cs typeface="+mn-cs"/>
                          </a:rPr>
                        </m:ctrlPr>
                      </m:sSubPr>
                      <m:e>
                        <m:d>
                          <m:dPr>
                            <m:begChr m:val="{"/>
                            <m:endChr m:val="}"/>
                            <m:ctrlPr>
                              <a:rPr lang="ja-JP" altLang="ja-JP" sz="1100" i="1">
                                <a:solidFill>
                                  <a:schemeClr val="tx1"/>
                                </a:solidFill>
                                <a:effectLst/>
                                <a:latin typeface="Cambria Math"/>
                                <a:ea typeface="+mn-ea"/>
                                <a:cs typeface="+mn-cs"/>
                              </a:rPr>
                            </m:ctrlPr>
                          </m:dPr>
                          <m:e>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𝑟</m:t>
                                </m:r>
                              </m:e>
                              <m:sub>
                                <m:r>
                                  <m:rPr>
                                    <m:sty m:val="p"/>
                                  </m:rPr>
                                  <a:rPr lang="en-US" altLang="ja-JP" sz="1100">
                                    <a:solidFill>
                                      <a:schemeClr val="tx1"/>
                                    </a:solidFill>
                                    <a:effectLst/>
                                    <a:latin typeface="Cambria Math"/>
                                    <a:ea typeface="+mn-ea"/>
                                    <a:cs typeface="+mn-cs"/>
                                  </a:rPr>
                                  <m:t>c</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i="1">
                                <a:solidFill>
                                  <a:schemeClr val="tx1"/>
                                </a:solidFill>
                                <a:effectLst/>
                                <a:latin typeface="Cambria Math"/>
                                <a:ea typeface="+mn-ea"/>
                                <a:cs typeface="+mn-cs"/>
                              </a:rPr>
                              <m:t>+</m:t>
                            </m:r>
                            <m:d>
                              <m:dPr>
                                <m:ctrlPr>
                                  <a:rPr lang="ja-JP" altLang="ja-JP" sz="1100" i="1">
                                    <a:solidFill>
                                      <a:schemeClr val="tx1"/>
                                    </a:solidFill>
                                    <a:effectLst/>
                                    <a:latin typeface="Cambria Math"/>
                                    <a:ea typeface="+mn-ea"/>
                                    <a:cs typeface="+mn-cs"/>
                                  </a:rPr>
                                </m:ctrlPr>
                              </m:dPr>
                              <m:e>
                                <m:r>
                                  <a:rPr lang="en-US" altLang="ja-JP" sz="1100">
                                    <a:solidFill>
                                      <a:schemeClr val="tx1"/>
                                    </a:solidFill>
                                    <a:effectLst/>
                                    <a:latin typeface="Cambria Math"/>
                                    <a:ea typeface="+mn-ea"/>
                                    <a:cs typeface="+mn-cs"/>
                                  </a:rPr>
                                  <m:t>1</m:t>
                                </m:r>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𝑟</m:t>
                                    </m:r>
                                  </m:e>
                                  <m:sub>
                                    <m:r>
                                      <m:rPr>
                                        <m:sty m:val="p"/>
                                      </m:rPr>
                                      <a:rPr lang="en-US" altLang="ja-JP" sz="1100">
                                        <a:solidFill>
                                          <a:schemeClr val="tx1"/>
                                        </a:solidFill>
                                        <a:effectLst/>
                                        <a:latin typeface="Cambria Math"/>
                                        <a:ea typeface="+mn-ea"/>
                                        <a:cs typeface="+mn-cs"/>
                                      </a:rPr>
                                      <m:t>c</m:t>
                                    </m:r>
                                  </m:sub>
                                </m:sSub>
                              </m:e>
                            </m:d>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r>
                                  <a:rPr lang="en-US" altLang="ja-JP" sz="1100">
                                    <a:solidFill>
                                      <a:schemeClr val="tx1"/>
                                    </a:solidFill>
                                    <a:effectLst/>
                                    <a:latin typeface="Cambria Math"/>
                                    <a:ea typeface="+mn-ea"/>
                                    <a:cs typeface="+mn-cs"/>
                                  </a:rPr>
                                  <m:t>0</m:t>
                                </m:r>
                              </m:sub>
                            </m:sSub>
                          </m:e>
                        </m:d>
                        <m:r>
                          <a:rPr lang="en-US" altLang="ja-JP" sz="1100" i="1">
                            <a:solidFill>
                              <a:schemeClr val="tx1"/>
                            </a:solidFill>
                            <a:effectLst/>
                            <a:latin typeface="Cambria Math"/>
                            <a:ea typeface="+mn-ea"/>
                            <a:cs typeface="+mn-cs"/>
                          </a:rPr>
                          <m:t>+</m:t>
                        </m:r>
                        <m:r>
                          <a:rPr lang="en-US" altLang="ja-JP" sz="1100" i="1">
                            <a:solidFill>
                              <a:schemeClr val="tx1"/>
                            </a:solidFill>
                            <a:effectLst/>
                            <a:latin typeface="Cambria Math"/>
                            <a:ea typeface="+mn-ea"/>
                            <a:cs typeface="+mn-cs"/>
                          </a:rPr>
                          <m:t>h</m:t>
                        </m:r>
                      </m:e>
                      <m:sub>
                        <m:r>
                          <m:rPr>
                            <m:sty m:val="p"/>
                          </m:rPr>
                          <a:rPr lang="en-US" altLang="ja-JP" sz="1100">
                            <a:solidFill>
                              <a:schemeClr val="tx1"/>
                            </a:solidFill>
                            <a:effectLst/>
                            <a:latin typeface="Cambria Math"/>
                            <a:ea typeface="+mn-ea"/>
                            <a:cs typeface="+mn-cs"/>
                          </a:rPr>
                          <m:t>i</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i</m:t>
                        </m:r>
                      </m:sub>
                    </m:sSub>
                  </m:oMath>
                </m:oMathPara>
              </a14:m>
              <a:endParaRPr kumimoji="1" lang="ja-JP" altLang="en-US" sz="1100"/>
            </a:p>
          </xdr:txBody>
        </xdr:sp>
      </mc:Choice>
      <mc:Fallback xmlns="">
        <xdr:sp macro="" textlink="">
          <xdr:nvSpPr>
            <xdr:cNvPr id="7" name="テキスト ボックス 6"/>
            <xdr:cNvSpPr txBox="1"/>
          </xdr:nvSpPr>
          <xdr:spPr>
            <a:xfrm>
              <a:off x="495299" y="17882318"/>
              <a:ext cx="32984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dH=𝑛</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s+ℎ</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𝑟</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r>
                <a:rPr lang="ja-JP" altLang="ja-JP" sz="1100" i="0">
                  <a:solidFill>
                    <a:schemeClr val="tx1"/>
                  </a:solidFill>
                  <a:effectLst/>
                  <a:latin typeface="Cambria Math"/>
                  <a:ea typeface="+mn-ea"/>
                  <a:cs typeface="+mn-cs"/>
                </a:rPr>
                <a:t>(</a:t>
              </a:r>
              <a:r>
                <a:rPr lang="en-US" altLang="ja-JP" sz="1100" i="0">
                  <a:solidFill>
                    <a:schemeClr val="tx1"/>
                  </a:solidFill>
                  <a:effectLst/>
                  <a:latin typeface="Cambria Math"/>
                  <a:ea typeface="+mn-ea"/>
                  <a:cs typeface="+mn-cs"/>
                </a:rPr>
                <a:t>1−𝑟</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 )</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c0 }+ℎ</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i</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i</a:t>
              </a:r>
              <a:endParaRPr kumimoji="1" lang="ja-JP" altLang="en-US" sz="1100"/>
            </a:p>
          </xdr:txBody>
        </xdr:sp>
      </mc:Fallback>
    </mc:AlternateContent>
    <xdr:clientData/>
  </xdr:oneCellAnchor>
  <xdr:oneCellAnchor>
    <xdr:from>
      <xdr:col>16</xdr:col>
      <xdr:colOff>0</xdr:colOff>
      <xdr:row>14</xdr:row>
      <xdr:rowOff>0</xdr:rowOff>
    </xdr:from>
    <xdr:ext cx="3465001" cy="352532"/>
    <mc:AlternateContent xmlns:mc="http://schemas.openxmlformats.org/markup-compatibility/2006" xmlns:a14="http://schemas.microsoft.com/office/drawing/2010/main">
      <mc:Choice Requires="a14">
        <xdr:sp macro="" textlink="">
          <xdr:nvSpPr>
            <xdr:cNvPr id="11" name="テキスト ボックス 10"/>
            <xdr:cNvSpPr txBox="1"/>
          </xdr:nvSpPr>
          <xdr:spPr>
            <a:xfrm>
              <a:off x="8572500" y="3590925"/>
              <a:ext cx="3465001" cy="352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𝑄</m:t>
                        </m:r>
                      </m:e>
                      <m:sub>
                        <m:r>
                          <m:rPr>
                            <m:sty m:val="p"/>
                          </m:rPr>
                          <a:rPr lang="en-US" altLang="ja-JP" sz="900" i="0">
                            <a:solidFill>
                              <a:schemeClr val="tx1"/>
                            </a:solidFill>
                            <a:effectLst/>
                            <a:latin typeface="Cambria Math"/>
                            <a:ea typeface="+mn-ea"/>
                            <a:cs typeface="+mn-cs"/>
                          </a:rPr>
                          <m:t>s</m:t>
                        </m:r>
                      </m:sub>
                    </m:sSub>
                    <m:r>
                      <a:rPr lang="en-US" altLang="ja-JP" sz="900" i="1">
                        <a:solidFill>
                          <a:schemeClr val="tx1"/>
                        </a:solidFill>
                        <a:effectLst/>
                        <a:latin typeface="Cambria Math"/>
                        <a:ea typeface="+mn-ea"/>
                        <a:cs typeface="+mn-cs"/>
                      </a:rPr>
                      <m:t>=</m:t>
                    </m:r>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𝑃</m:t>
                        </m:r>
                      </m:e>
                      <m:sub>
                        <m:r>
                          <m:rPr>
                            <m:sty m:val="p"/>
                          </m:rPr>
                          <a:rPr lang="en-US" altLang="ja-JP" sz="900" i="0">
                            <a:solidFill>
                              <a:schemeClr val="tx1"/>
                            </a:solidFill>
                            <a:effectLst/>
                            <a:latin typeface="Cambria Math"/>
                            <a:ea typeface="+mn-ea"/>
                            <a:cs typeface="+mn-cs"/>
                          </a:rPr>
                          <m:t>s</m:t>
                        </m:r>
                      </m:sub>
                    </m:sSub>
                    <m:r>
                      <a:rPr lang="en-US" altLang="ja-JP" sz="900" i="1">
                        <a:solidFill>
                          <a:schemeClr val="tx1"/>
                        </a:solidFill>
                        <a:effectLst/>
                        <a:latin typeface="Cambria Math"/>
                        <a:ea typeface="+mn-ea"/>
                        <a:cs typeface="+mn-cs"/>
                      </a:rPr>
                      <m:t>+</m:t>
                    </m:r>
                    <m:f>
                      <m:fPr>
                        <m:ctrlPr>
                          <a:rPr lang="ja-JP" altLang="ja-JP" sz="900" i="1">
                            <a:solidFill>
                              <a:schemeClr val="tx1"/>
                            </a:solidFill>
                            <a:effectLst/>
                            <a:latin typeface="Cambria Math"/>
                            <a:ea typeface="+mn-ea"/>
                            <a:cs typeface="+mn-cs"/>
                          </a:rPr>
                        </m:ctrlPr>
                      </m:fPr>
                      <m:num>
                        <m:r>
                          <a:rPr lang="en-US" altLang="ja-JP" sz="900" i="1">
                            <a:solidFill>
                              <a:schemeClr val="tx1"/>
                            </a:solidFill>
                            <a:effectLst/>
                            <a:latin typeface="Cambria Math"/>
                            <a:ea typeface="+mn-ea"/>
                            <a:cs typeface="+mn-cs"/>
                          </a:rPr>
                          <m:t>𝐶</m:t>
                        </m:r>
                      </m:num>
                      <m:den>
                        <m:r>
                          <a:rPr lang="en-US" altLang="ja-JP" sz="900" i="1">
                            <a:solidFill>
                              <a:schemeClr val="tx1"/>
                            </a:solidFill>
                            <a:effectLst/>
                            <a:latin typeface="Cambria Math"/>
                            <a:ea typeface="+mn-ea"/>
                            <a:cs typeface="+mn-cs"/>
                          </a:rPr>
                          <m:t>3600</m:t>
                        </m:r>
                      </m:den>
                    </m:f>
                    <m:d>
                      <m:dPr>
                        <m:begChr m:val="{"/>
                        <m:endChr m:val="}"/>
                        <m:ctrlPr>
                          <a:rPr lang="ja-JP" altLang="ja-JP" sz="900" i="1">
                            <a:solidFill>
                              <a:schemeClr val="tx1"/>
                            </a:solidFill>
                            <a:effectLst/>
                            <a:latin typeface="Cambria Math"/>
                            <a:ea typeface="+mn-ea"/>
                            <a:cs typeface="+mn-cs"/>
                          </a:rPr>
                        </m:ctrlPr>
                      </m:dPr>
                      <m:e>
                        <m:d>
                          <m:dPr>
                            <m:ctrlPr>
                              <a:rPr lang="ja-JP" altLang="ja-JP" sz="900" i="1">
                                <a:solidFill>
                                  <a:schemeClr val="tx1"/>
                                </a:solidFill>
                                <a:effectLst/>
                                <a:latin typeface="Cambria Math"/>
                                <a:ea typeface="+mn-ea"/>
                                <a:cs typeface="+mn-cs"/>
                              </a:rPr>
                            </m:ctrlPr>
                          </m:dPr>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i="0">
                                    <a:solidFill>
                                      <a:schemeClr val="tx1"/>
                                    </a:solidFill>
                                    <a:effectLst/>
                                    <a:latin typeface="Cambria Math"/>
                                    <a:ea typeface="+mn-ea"/>
                                    <a:cs typeface="+mn-cs"/>
                                  </a:rPr>
                                  <m:t>h</m:t>
                                </m:r>
                                <m:r>
                                  <m:rPr>
                                    <m:sty m:val="p"/>
                                  </m:rPr>
                                  <a:rPr lang="en-US" altLang="ja-JP" sz="900" b="0" i="0">
                                    <a:solidFill>
                                      <a:schemeClr val="tx1"/>
                                    </a:solidFill>
                                    <a:effectLst/>
                                    <a:latin typeface="Cambria Math"/>
                                    <a:ea typeface="+mn-ea"/>
                                    <a:cs typeface="+mn-cs"/>
                                  </a:rPr>
                                  <m:t>H</m:t>
                                </m:r>
                              </m:sub>
                            </m:sSub>
                            <m:r>
                              <a:rPr lang="en-US" altLang="ja-JP" sz="900" i="1">
                                <a:solidFill>
                                  <a:schemeClr val="tx1"/>
                                </a:solidFill>
                                <a:effectLst/>
                                <a:latin typeface="Cambria Math"/>
                                <a:ea typeface="+mn-ea"/>
                                <a:cs typeface="+mn-cs"/>
                              </a:rPr>
                              <m:t>−60</m:t>
                            </m:r>
                          </m:e>
                        </m:d>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𝑊</m:t>
                            </m:r>
                          </m:e>
                          <m:sub>
                            <m:r>
                              <m:rPr>
                                <m:sty m:val="p"/>
                              </m:rPr>
                              <a:rPr lang="en-US" altLang="ja-JP" sz="900" i="0">
                                <a:solidFill>
                                  <a:schemeClr val="tx1"/>
                                </a:solidFill>
                                <a:effectLst/>
                                <a:latin typeface="Cambria Math"/>
                                <a:ea typeface="+mn-ea"/>
                                <a:cs typeface="+mn-cs"/>
                              </a:rPr>
                              <m:t>f</m:t>
                            </m:r>
                          </m:sub>
                        </m:sSub>
                        <m:r>
                          <a:rPr lang="en-US" altLang="ja-JP" sz="900" i="1">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i="0">
                                    <a:solidFill>
                                      <a:schemeClr val="tx1"/>
                                    </a:solidFill>
                                    <a:effectLst/>
                                    <a:latin typeface="Cambria Math"/>
                                    <a:ea typeface="+mn-ea"/>
                                    <a:cs typeface="+mn-cs"/>
                                  </a:rPr>
                                  <m:t>h</m:t>
                                </m:r>
                                <m:r>
                                  <m:rPr>
                                    <m:sty m:val="p"/>
                                  </m:rPr>
                                  <a:rPr lang="en-US" altLang="ja-JP" sz="900" b="0" i="0">
                                    <a:solidFill>
                                      <a:schemeClr val="tx1"/>
                                    </a:solidFill>
                                    <a:effectLst/>
                                    <a:latin typeface="Cambria Math"/>
                                    <a:ea typeface="+mn-ea"/>
                                    <a:cs typeface="+mn-cs"/>
                                  </a:rPr>
                                  <m:t>H</m:t>
                                </m:r>
                              </m:sub>
                            </m:sSub>
                            <m:r>
                              <a:rPr lang="en-US" altLang="ja-JP" sz="900" i="1">
                                <a:solidFill>
                                  <a:schemeClr val="tx1"/>
                                </a:solidFill>
                                <a:effectLst/>
                                <a:latin typeface="Cambria Math"/>
                                <a:ea typeface="+mn-ea"/>
                                <a:cs typeface="+mn-cs"/>
                              </a:rPr>
                              <m:t>−60</m:t>
                            </m:r>
                          </m:e>
                        </m:d>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𝑊</m:t>
                            </m:r>
                          </m:e>
                          <m:sub>
                            <m:r>
                              <m:rPr>
                                <m:sty m:val="p"/>
                              </m:rPr>
                              <a:rPr lang="en-US" altLang="ja-JP" sz="900" i="0">
                                <a:solidFill>
                                  <a:schemeClr val="tx1"/>
                                </a:solidFill>
                                <a:effectLst/>
                                <a:latin typeface="Cambria Math"/>
                                <a:ea typeface="+mn-ea"/>
                                <a:cs typeface="+mn-cs"/>
                              </a:rPr>
                              <m:t>m</m:t>
                            </m:r>
                          </m:sub>
                        </m:sSub>
                        <m:r>
                          <a:rPr lang="en-US" altLang="ja-JP" sz="900" i="1">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i="0">
                                    <a:solidFill>
                                      <a:schemeClr val="tx1"/>
                                    </a:solidFill>
                                    <a:effectLst/>
                                    <a:latin typeface="Cambria Math"/>
                                    <a:ea typeface="+mn-ea"/>
                                    <a:cs typeface="+mn-cs"/>
                                  </a:rPr>
                                  <m:t>s</m:t>
                                </m:r>
                              </m:sub>
                            </m:sSub>
                            <m:r>
                              <a:rPr lang="en-US" altLang="ja-JP" sz="900" i="1">
                                <a:solidFill>
                                  <a:schemeClr val="tx1"/>
                                </a:solidFill>
                                <a:effectLst/>
                                <a:latin typeface="Cambria Math"/>
                                <a:ea typeface="+mn-ea"/>
                                <a:cs typeface="+mn-cs"/>
                              </a:rPr>
                              <m:t>−20</m:t>
                            </m:r>
                          </m:e>
                        </m:d>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𝑊</m:t>
                            </m:r>
                          </m:e>
                          <m:sub>
                            <m:r>
                              <m:rPr>
                                <m:sty m:val="p"/>
                              </m:rPr>
                              <a:rPr lang="en-US" altLang="ja-JP" sz="900" i="0">
                                <a:solidFill>
                                  <a:schemeClr val="tx1"/>
                                </a:solidFill>
                                <a:effectLst/>
                                <a:latin typeface="Cambria Math"/>
                                <a:ea typeface="+mn-ea"/>
                                <a:cs typeface="+mn-cs"/>
                              </a:rPr>
                              <m:t>r</m:t>
                            </m:r>
                          </m:sub>
                        </m:sSub>
                      </m:e>
                    </m:d>
                  </m:oMath>
                </m:oMathPara>
              </a14:m>
              <a:endParaRPr kumimoji="1" lang="ja-JP" altLang="en-US" sz="900"/>
            </a:p>
          </xdr:txBody>
        </xdr:sp>
      </mc:Choice>
      <mc:Fallback xmlns="">
        <xdr:sp macro="" textlink="">
          <xdr:nvSpPr>
            <xdr:cNvPr id="11" name="テキスト ボックス 10"/>
            <xdr:cNvSpPr txBox="1"/>
          </xdr:nvSpPr>
          <xdr:spPr>
            <a:xfrm>
              <a:off x="8572500" y="3590925"/>
              <a:ext cx="3465001" cy="352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900" i="0">
                  <a:solidFill>
                    <a:schemeClr val="tx1"/>
                  </a:solidFill>
                  <a:effectLst/>
                  <a:latin typeface="Cambria Math"/>
                  <a:ea typeface="+mn-ea"/>
                  <a:cs typeface="+mn-cs"/>
                </a:rPr>
                <a:t>𝑄</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s=𝑃</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s+𝐶</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3600</a:t>
              </a:r>
              <a:r>
                <a:rPr lang="ja-JP" altLang="ja-JP" sz="90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𝜃</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h</a:t>
              </a:r>
              <a:r>
                <a:rPr lang="en-US" altLang="ja-JP" sz="900" b="0" i="0">
                  <a:solidFill>
                    <a:schemeClr val="tx1"/>
                  </a:solidFill>
                  <a:effectLst/>
                  <a:latin typeface="Cambria Math"/>
                  <a:ea typeface="+mn-ea"/>
                  <a:cs typeface="+mn-cs"/>
                </a:rPr>
                <a:t>H</a:t>
              </a:r>
              <a:r>
                <a:rPr lang="en-US" altLang="ja-JP" sz="900" i="0">
                  <a:solidFill>
                    <a:schemeClr val="tx1"/>
                  </a:solidFill>
                  <a:effectLst/>
                  <a:latin typeface="Cambria Math"/>
                  <a:ea typeface="+mn-ea"/>
                  <a:cs typeface="+mn-cs"/>
                </a:rPr>
                <a:t>−60)</a:t>
              </a:r>
              <a:r>
                <a:rPr lang="ja-JP" altLang="ja-JP" sz="90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𝑊</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f+</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𝜃</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h</a:t>
              </a:r>
              <a:r>
                <a:rPr lang="en-US" altLang="ja-JP" sz="900" b="0" i="0">
                  <a:solidFill>
                    <a:schemeClr val="tx1"/>
                  </a:solidFill>
                  <a:effectLst/>
                  <a:latin typeface="Cambria Math"/>
                  <a:ea typeface="+mn-ea"/>
                  <a:cs typeface="+mn-cs"/>
                </a:rPr>
                <a:t>H</a:t>
              </a:r>
              <a:r>
                <a:rPr lang="en-US" altLang="ja-JP" sz="900" i="0">
                  <a:solidFill>
                    <a:schemeClr val="tx1"/>
                  </a:solidFill>
                  <a:effectLst/>
                  <a:latin typeface="Cambria Math"/>
                  <a:ea typeface="+mn-ea"/>
                  <a:cs typeface="+mn-cs"/>
                </a:rPr>
                <a:t>−60)</a:t>
              </a:r>
              <a:r>
                <a:rPr lang="ja-JP" altLang="ja-JP" sz="90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𝑊</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m+</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𝜃</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s−20)</a:t>
              </a:r>
              <a:r>
                <a:rPr lang="ja-JP" altLang="ja-JP" sz="90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𝑊</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r }</a:t>
              </a:r>
              <a:endParaRPr kumimoji="1" lang="ja-JP" altLang="en-US" sz="900"/>
            </a:p>
          </xdr:txBody>
        </xdr:sp>
      </mc:Fallback>
    </mc:AlternateContent>
    <xdr:clientData/>
  </xdr:oneCellAnchor>
  <xdr:oneCellAnchor>
    <xdr:from>
      <xdr:col>16</xdr:col>
      <xdr:colOff>0</xdr:colOff>
      <xdr:row>16</xdr:row>
      <xdr:rowOff>0</xdr:rowOff>
    </xdr:from>
    <xdr:ext cx="3465001" cy="352532"/>
    <mc:AlternateContent xmlns:mc="http://schemas.openxmlformats.org/markup-compatibility/2006" xmlns:a14="http://schemas.microsoft.com/office/drawing/2010/main">
      <mc:Choice Requires="a14">
        <xdr:sp macro="" textlink="">
          <xdr:nvSpPr>
            <xdr:cNvPr id="12" name="テキスト ボックス 11"/>
            <xdr:cNvSpPr txBox="1"/>
          </xdr:nvSpPr>
          <xdr:spPr>
            <a:xfrm>
              <a:off x="8572500" y="4029075"/>
              <a:ext cx="3465001" cy="352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𝑄</m:t>
                        </m:r>
                      </m:e>
                      <m:sub>
                        <m:r>
                          <m:rPr>
                            <m:sty m:val="p"/>
                          </m:rPr>
                          <a:rPr lang="en-US" altLang="ja-JP" sz="900" i="0">
                            <a:solidFill>
                              <a:schemeClr val="tx1"/>
                            </a:solidFill>
                            <a:effectLst/>
                            <a:latin typeface="Cambria Math"/>
                            <a:ea typeface="+mn-ea"/>
                            <a:cs typeface="+mn-cs"/>
                          </a:rPr>
                          <m:t>s</m:t>
                        </m:r>
                      </m:sub>
                    </m:sSub>
                    <m:r>
                      <a:rPr lang="en-US" altLang="ja-JP" sz="900" i="1">
                        <a:solidFill>
                          <a:schemeClr val="tx1"/>
                        </a:solidFill>
                        <a:effectLst/>
                        <a:latin typeface="Cambria Math"/>
                        <a:ea typeface="+mn-ea"/>
                        <a:cs typeface="+mn-cs"/>
                      </a:rPr>
                      <m:t>=</m:t>
                    </m:r>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𝑃</m:t>
                        </m:r>
                      </m:e>
                      <m:sub>
                        <m:r>
                          <m:rPr>
                            <m:sty m:val="p"/>
                          </m:rPr>
                          <a:rPr lang="en-US" altLang="ja-JP" sz="900" i="0">
                            <a:solidFill>
                              <a:schemeClr val="tx1"/>
                            </a:solidFill>
                            <a:effectLst/>
                            <a:latin typeface="Cambria Math"/>
                            <a:ea typeface="+mn-ea"/>
                            <a:cs typeface="+mn-cs"/>
                          </a:rPr>
                          <m:t>s</m:t>
                        </m:r>
                      </m:sub>
                    </m:sSub>
                    <m:r>
                      <a:rPr lang="en-US" altLang="ja-JP" sz="900" i="1">
                        <a:solidFill>
                          <a:schemeClr val="tx1"/>
                        </a:solidFill>
                        <a:effectLst/>
                        <a:latin typeface="Cambria Math"/>
                        <a:ea typeface="+mn-ea"/>
                        <a:cs typeface="+mn-cs"/>
                      </a:rPr>
                      <m:t>+</m:t>
                    </m:r>
                    <m:f>
                      <m:fPr>
                        <m:ctrlPr>
                          <a:rPr lang="ja-JP" altLang="ja-JP" sz="900" i="1">
                            <a:solidFill>
                              <a:schemeClr val="tx1"/>
                            </a:solidFill>
                            <a:effectLst/>
                            <a:latin typeface="Cambria Math"/>
                            <a:ea typeface="+mn-ea"/>
                            <a:cs typeface="+mn-cs"/>
                          </a:rPr>
                        </m:ctrlPr>
                      </m:fPr>
                      <m:num>
                        <m:r>
                          <a:rPr lang="en-US" altLang="ja-JP" sz="900" i="1">
                            <a:solidFill>
                              <a:schemeClr val="tx1"/>
                            </a:solidFill>
                            <a:effectLst/>
                            <a:latin typeface="Cambria Math"/>
                            <a:ea typeface="+mn-ea"/>
                            <a:cs typeface="+mn-cs"/>
                          </a:rPr>
                          <m:t>𝐶</m:t>
                        </m:r>
                      </m:num>
                      <m:den>
                        <m:r>
                          <a:rPr lang="en-US" altLang="ja-JP" sz="900" i="1">
                            <a:solidFill>
                              <a:schemeClr val="tx1"/>
                            </a:solidFill>
                            <a:effectLst/>
                            <a:latin typeface="Cambria Math"/>
                            <a:ea typeface="+mn-ea"/>
                            <a:cs typeface="+mn-cs"/>
                          </a:rPr>
                          <m:t>3600</m:t>
                        </m:r>
                      </m:den>
                    </m:f>
                    <m:d>
                      <m:dPr>
                        <m:begChr m:val="{"/>
                        <m:endChr m:val="}"/>
                        <m:ctrlPr>
                          <a:rPr lang="ja-JP" altLang="ja-JP" sz="900" i="1">
                            <a:solidFill>
                              <a:schemeClr val="tx1"/>
                            </a:solidFill>
                            <a:effectLst/>
                            <a:latin typeface="Cambria Math"/>
                            <a:ea typeface="+mn-ea"/>
                            <a:cs typeface="+mn-cs"/>
                          </a:rPr>
                        </m:ctrlPr>
                      </m:dPr>
                      <m:e>
                        <m:d>
                          <m:dPr>
                            <m:ctrlPr>
                              <a:rPr lang="ja-JP" altLang="ja-JP" sz="900" i="1">
                                <a:solidFill>
                                  <a:schemeClr val="tx1"/>
                                </a:solidFill>
                                <a:effectLst/>
                                <a:latin typeface="Cambria Math"/>
                                <a:ea typeface="+mn-ea"/>
                                <a:cs typeface="+mn-cs"/>
                              </a:rPr>
                            </m:ctrlPr>
                          </m:dPr>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i="0">
                                    <a:solidFill>
                                      <a:schemeClr val="tx1"/>
                                    </a:solidFill>
                                    <a:effectLst/>
                                    <a:latin typeface="Cambria Math"/>
                                    <a:ea typeface="+mn-ea"/>
                                    <a:cs typeface="+mn-cs"/>
                                  </a:rPr>
                                  <m:t>h</m:t>
                                </m:r>
                                <m:r>
                                  <m:rPr>
                                    <m:sty m:val="p"/>
                                  </m:rPr>
                                  <a:rPr lang="en-US" altLang="ja-JP" sz="900" b="0" i="0">
                                    <a:solidFill>
                                      <a:schemeClr val="tx1"/>
                                    </a:solidFill>
                                    <a:effectLst/>
                                    <a:latin typeface="Cambria Math"/>
                                    <a:ea typeface="+mn-ea"/>
                                    <a:cs typeface="+mn-cs"/>
                                  </a:rPr>
                                  <m:t>C</m:t>
                                </m:r>
                              </m:sub>
                            </m:sSub>
                            <m:r>
                              <a:rPr lang="en-US" altLang="ja-JP" sz="900" i="1">
                                <a:solidFill>
                                  <a:schemeClr val="tx1"/>
                                </a:solidFill>
                                <a:effectLst/>
                                <a:latin typeface="Cambria Math"/>
                                <a:ea typeface="+mn-ea"/>
                                <a:cs typeface="+mn-cs"/>
                              </a:rPr>
                              <m:t>−</m:t>
                            </m:r>
                            <m:r>
                              <a:rPr lang="en-US" altLang="ja-JP" sz="900" b="0" i="1">
                                <a:solidFill>
                                  <a:schemeClr val="tx1"/>
                                </a:solidFill>
                                <a:effectLst/>
                                <a:latin typeface="Cambria Math"/>
                                <a:ea typeface="+mn-ea"/>
                                <a:cs typeface="+mn-cs"/>
                              </a:rPr>
                              <m:t>15</m:t>
                            </m:r>
                          </m:e>
                        </m:d>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𝑊</m:t>
                            </m:r>
                          </m:e>
                          <m:sub>
                            <m:r>
                              <m:rPr>
                                <m:sty m:val="p"/>
                              </m:rPr>
                              <a:rPr lang="en-US" altLang="ja-JP" sz="900" i="0">
                                <a:solidFill>
                                  <a:schemeClr val="tx1"/>
                                </a:solidFill>
                                <a:effectLst/>
                                <a:latin typeface="Cambria Math"/>
                                <a:ea typeface="+mn-ea"/>
                                <a:cs typeface="+mn-cs"/>
                              </a:rPr>
                              <m:t>f</m:t>
                            </m:r>
                          </m:sub>
                        </m:sSub>
                        <m:r>
                          <a:rPr lang="en-US" altLang="ja-JP" sz="900" i="1">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i="0">
                                    <a:solidFill>
                                      <a:schemeClr val="tx1"/>
                                    </a:solidFill>
                                    <a:effectLst/>
                                    <a:latin typeface="Cambria Math"/>
                                    <a:ea typeface="+mn-ea"/>
                                    <a:cs typeface="+mn-cs"/>
                                  </a:rPr>
                                  <m:t>h</m:t>
                                </m:r>
                                <m:r>
                                  <m:rPr>
                                    <m:sty m:val="p"/>
                                  </m:rPr>
                                  <a:rPr lang="en-US" altLang="ja-JP" sz="900" b="0" i="0">
                                    <a:solidFill>
                                      <a:schemeClr val="tx1"/>
                                    </a:solidFill>
                                    <a:effectLst/>
                                    <a:latin typeface="Cambria Math"/>
                                    <a:ea typeface="+mn-ea"/>
                                    <a:cs typeface="+mn-cs"/>
                                  </a:rPr>
                                  <m:t>C</m:t>
                                </m:r>
                              </m:sub>
                            </m:sSub>
                            <m:r>
                              <a:rPr lang="en-US" altLang="ja-JP" sz="900" i="1">
                                <a:solidFill>
                                  <a:schemeClr val="tx1"/>
                                </a:solidFill>
                                <a:effectLst/>
                                <a:latin typeface="Cambria Math"/>
                                <a:ea typeface="+mn-ea"/>
                                <a:cs typeface="+mn-cs"/>
                              </a:rPr>
                              <m:t>−</m:t>
                            </m:r>
                            <m:r>
                              <a:rPr lang="en-US" altLang="ja-JP" sz="900" b="0" i="1">
                                <a:solidFill>
                                  <a:schemeClr val="tx1"/>
                                </a:solidFill>
                                <a:effectLst/>
                                <a:latin typeface="Cambria Math"/>
                                <a:ea typeface="+mn-ea"/>
                                <a:cs typeface="+mn-cs"/>
                              </a:rPr>
                              <m:t>15</m:t>
                            </m:r>
                          </m:e>
                        </m:d>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𝑊</m:t>
                            </m:r>
                          </m:e>
                          <m:sub>
                            <m:r>
                              <m:rPr>
                                <m:sty m:val="p"/>
                              </m:rPr>
                              <a:rPr lang="en-US" altLang="ja-JP" sz="900" i="0">
                                <a:solidFill>
                                  <a:schemeClr val="tx1"/>
                                </a:solidFill>
                                <a:effectLst/>
                                <a:latin typeface="Cambria Math"/>
                                <a:ea typeface="+mn-ea"/>
                                <a:cs typeface="+mn-cs"/>
                              </a:rPr>
                              <m:t>m</m:t>
                            </m:r>
                          </m:sub>
                        </m:sSub>
                        <m:r>
                          <a:rPr lang="en-US" altLang="ja-JP" sz="900" i="1">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i="0">
                                    <a:solidFill>
                                      <a:schemeClr val="tx1"/>
                                    </a:solidFill>
                                    <a:effectLst/>
                                    <a:latin typeface="Cambria Math"/>
                                    <a:ea typeface="+mn-ea"/>
                                    <a:cs typeface="+mn-cs"/>
                                  </a:rPr>
                                  <m:t>s</m:t>
                                </m:r>
                              </m:sub>
                            </m:sSub>
                            <m:r>
                              <a:rPr lang="en-US" altLang="ja-JP" sz="900" i="1">
                                <a:solidFill>
                                  <a:schemeClr val="tx1"/>
                                </a:solidFill>
                                <a:effectLst/>
                                <a:latin typeface="Cambria Math"/>
                                <a:ea typeface="+mn-ea"/>
                                <a:cs typeface="+mn-cs"/>
                              </a:rPr>
                              <m:t>−20</m:t>
                            </m:r>
                          </m:e>
                        </m:d>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𝑊</m:t>
                            </m:r>
                          </m:e>
                          <m:sub>
                            <m:r>
                              <m:rPr>
                                <m:sty m:val="p"/>
                              </m:rPr>
                              <a:rPr lang="en-US" altLang="ja-JP" sz="900" i="0">
                                <a:solidFill>
                                  <a:schemeClr val="tx1"/>
                                </a:solidFill>
                                <a:effectLst/>
                                <a:latin typeface="Cambria Math"/>
                                <a:ea typeface="+mn-ea"/>
                                <a:cs typeface="+mn-cs"/>
                              </a:rPr>
                              <m:t>r</m:t>
                            </m:r>
                          </m:sub>
                        </m:sSub>
                      </m:e>
                    </m:d>
                  </m:oMath>
                </m:oMathPara>
              </a14:m>
              <a:endParaRPr kumimoji="1" lang="ja-JP" altLang="en-US" sz="900"/>
            </a:p>
          </xdr:txBody>
        </xdr:sp>
      </mc:Choice>
      <mc:Fallback xmlns="">
        <xdr:sp macro="" textlink="">
          <xdr:nvSpPr>
            <xdr:cNvPr id="12" name="テキスト ボックス 11"/>
            <xdr:cNvSpPr txBox="1"/>
          </xdr:nvSpPr>
          <xdr:spPr>
            <a:xfrm>
              <a:off x="8572500" y="4029075"/>
              <a:ext cx="3465001" cy="352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900" i="0">
                  <a:solidFill>
                    <a:schemeClr val="tx1"/>
                  </a:solidFill>
                  <a:effectLst/>
                  <a:latin typeface="Cambria Math"/>
                  <a:ea typeface="+mn-ea"/>
                  <a:cs typeface="+mn-cs"/>
                </a:rPr>
                <a:t>𝑄</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s=𝑃</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s+𝐶</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3600</a:t>
              </a:r>
              <a:r>
                <a:rPr lang="ja-JP" altLang="ja-JP" sz="90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𝜃</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h</a:t>
              </a:r>
              <a:r>
                <a:rPr lang="en-US" altLang="ja-JP" sz="900" b="0" i="0">
                  <a:solidFill>
                    <a:schemeClr val="tx1"/>
                  </a:solidFill>
                  <a:effectLst/>
                  <a:latin typeface="Cambria Math"/>
                  <a:ea typeface="+mn-ea"/>
                  <a:cs typeface="+mn-cs"/>
                </a:rPr>
                <a:t>C</a:t>
              </a:r>
              <a:r>
                <a:rPr lang="en-US" altLang="ja-JP" sz="900" i="0">
                  <a:solidFill>
                    <a:schemeClr val="tx1"/>
                  </a:solidFill>
                  <a:effectLst/>
                  <a:latin typeface="Cambria Math"/>
                  <a:ea typeface="+mn-ea"/>
                  <a:cs typeface="+mn-cs"/>
                </a:rPr>
                <a:t>−</a:t>
              </a:r>
              <a:r>
                <a:rPr lang="en-US" altLang="ja-JP" sz="900" b="0" i="0">
                  <a:solidFill>
                    <a:schemeClr val="tx1"/>
                  </a:solidFill>
                  <a:effectLst/>
                  <a:latin typeface="Cambria Math"/>
                  <a:ea typeface="+mn-ea"/>
                  <a:cs typeface="+mn-cs"/>
                </a:rPr>
                <a:t>15)</a:t>
              </a:r>
              <a:r>
                <a:rPr lang="ja-JP" altLang="ja-JP" sz="900" b="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𝑊</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f+</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𝜃</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h</a:t>
              </a:r>
              <a:r>
                <a:rPr lang="en-US" altLang="ja-JP" sz="900" b="0" i="0">
                  <a:solidFill>
                    <a:schemeClr val="tx1"/>
                  </a:solidFill>
                  <a:effectLst/>
                  <a:latin typeface="Cambria Math"/>
                  <a:ea typeface="+mn-ea"/>
                  <a:cs typeface="+mn-cs"/>
                </a:rPr>
                <a:t>C</a:t>
              </a:r>
              <a:r>
                <a:rPr lang="en-US" altLang="ja-JP" sz="900" i="0">
                  <a:solidFill>
                    <a:schemeClr val="tx1"/>
                  </a:solidFill>
                  <a:effectLst/>
                  <a:latin typeface="Cambria Math"/>
                  <a:ea typeface="+mn-ea"/>
                  <a:cs typeface="+mn-cs"/>
                </a:rPr>
                <a:t>−</a:t>
              </a:r>
              <a:r>
                <a:rPr lang="en-US" altLang="ja-JP" sz="900" b="0" i="0">
                  <a:solidFill>
                    <a:schemeClr val="tx1"/>
                  </a:solidFill>
                  <a:effectLst/>
                  <a:latin typeface="Cambria Math"/>
                  <a:ea typeface="+mn-ea"/>
                  <a:cs typeface="+mn-cs"/>
                </a:rPr>
                <a:t>15)</a:t>
              </a:r>
              <a:r>
                <a:rPr lang="ja-JP" altLang="ja-JP" sz="900" b="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𝑊</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m+</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𝜃</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s−20)</a:t>
              </a:r>
              <a:r>
                <a:rPr lang="ja-JP" altLang="ja-JP" sz="90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𝑊</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r }</a:t>
              </a:r>
              <a:endParaRPr kumimoji="1" lang="ja-JP" altLang="en-US" sz="900"/>
            </a:p>
          </xdr:txBody>
        </xdr:sp>
      </mc:Fallback>
    </mc:AlternateContent>
    <xdr:clientData/>
  </xdr:oneCellAnchor>
  <xdr:oneCellAnchor>
    <xdr:from>
      <xdr:col>16</xdr:col>
      <xdr:colOff>0</xdr:colOff>
      <xdr:row>25</xdr:row>
      <xdr:rowOff>0</xdr:rowOff>
    </xdr:from>
    <xdr:ext cx="1859672" cy="384529"/>
    <mc:AlternateContent xmlns:mc="http://schemas.openxmlformats.org/markup-compatibility/2006" xmlns:a14="http://schemas.microsoft.com/office/drawing/2010/main">
      <mc:Choice Requires="a14">
        <xdr:sp macro="" textlink="">
          <xdr:nvSpPr>
            <xdr:cNvPr id="13" name="テキスト ボックス 12"/>
            <xdr:cNvSpPr txBox="1"/>
          </xdr:nvSpPr>
          <xdr:spPr>
            <a:xfrm>
              <a:off x="8584406" y="5631656"/>
              <a:ext cx="1859672" cy="3845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900" b="1" i="1">
                            <a:solidFill>
                              <a:schemeClr val="tx1"/>
                            </a:solidFill>
                            <a:effectLst/>
                            <a:latin typeface="Cambria Math"/>
                            <a:ea typeface="+mn-ea"/>
                            <a:cs typeface="+mn-cs"/>
                          </a:rPr>
                        </m:ctrlPr>
                      </m:sSubPr>
                      <m:e>
                        <m:r>
                          <a:rPr lang="ja-JP" altLang="ja-JP" sz="900" i="1">
                            <a:solidFill>
                              <a:schemeClr val="tx1"/>
                            </a:solidFill>
                            <a:effectLst/>
                            <a:latin typeface="Cambria Math"/>
                            <a:ea typeface="+mn-ea"/>
                            <a:cs typeface="+mn-cs"/>
                          </a:rPr>
                          <m:t>　</m:t>
                        </m:r>
                        <m:r>
                          <a:rPr lang="en-US" altLang="ja-JP" sz="900" i="1">
                            <a:solidFill>
                              <a:schemeClr val="tx1"/>
                            </a:solidFill>
                            <a:effectLst/>
                            <a:latin typeface="Cambria Math"/>
                            <a:ea typeface="+mn-ea"/>
                            <a:cs typeface="+mn-cs"/>
                          </a:rPr>
                          <m:t>𝑄</m:t>
                        </m:r>
                      </m:e>
                      <m:sub>
                        <m:r>
                          <m:rPr>
                            <m:sty m:val="p"/>
                          </m:rPr>
                          <a:rPr lang="en-US" altLang="ja-JP" sz="900">
                            <a:solidFill>
                              <a:schemeClr val="tx1"/>
                            </a:solidFill>
                            <a:effectLst/>
                            <a:latin typeface="Cambria Math"/>
                            <a:ea typeface="+mn-ea"/>
                            <a:cs typeface="+mn-cs"/>
                          </a:rPr>
                          <m:t>c</m:t>
                        </m:r>
                        <m:r>
                          <a:rPr lang="en-US" altLang="ja-JP" sz="900">
                            <a:solidFill>
                              <a:schemeClr val="tx1"/>
                            </a:solidFill>
                            <a:effectLst/>
                            <a:latin typeface="Cambria Math"/>
                            <a:ea typeface="+mn-ea"/>
                            <a:cs typeface="+mn-cs"/>
                          </a:rPr>
                          <m:t>0</m:t>
                        </m:r>
                      </m:sub>
                    </m:sSub>
                    <m:r>
                      <a:rPr lang="en-US" altLang="ja-JP" sz="900" b="1">
                        <a:solidFill>
                          <a:schemeClr val="tx1"/>
                        </a:solidFill>
                        <a:effectLst/>
                        <a:latin typeface="Cambria Math"/>
                        <a:ea typeface="+mn-ea"/>
                        <a:cs typeface="+mn-cs"/>
                      </a:rPr>
                      <m:t>=</m:t>
                    </m:r>
                    <m:sSub>
                      <m:sSubPr>
                        <m:ctrlPr>
                          <a:rPr lang="ja-JP" altLang="ja-JP" sz="900" b="1"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𝑃</m:t>
                        </m:r>
                      </m:e>
                      <m:sub>
                        <m:r>
                          <m:rPr>
                            <m:sty m:val="p"/>
                          </m:rPr>
                          <a:rPr lang="en-US" altLang="ja-JP" sz="900">
                            <a:solidFill>
                              <a:schemeClr val="tx1"/>
                            </a:solidFill>
                            <a:effectLst/>
                            <a:latin typeface="Cambria Math"/>
                            <a:ea typeface="+mn-ea"/>
                            <a:cs typeface="+mn-cs"/>
                          </a:rPr>
                          <m:t>c</m:t>
                        </m:r>
                        <m:r>
                          <a:rPr lang="en-US" altLang="ja-JP" sz="900">
                            <a:solidFill>
                              <a:schemeClr val="tx1"/>
                            </a:solidFill>
                            <a:effectLst/>
                            <a:latin typeface="Cambria Math"/>
                            <a:ea typeface="+mn-ea"/>
                            <a:cs typeface="+mn-cs"/>
                          </a:rPr>
                          <m:t>0</m:t>
                        </m:r>
                      </m:sub>
                    </m:sSub>
                    <m:f>
                      <m:fPr>
                        <m:ctrlPr>
                          <a:rPr lang="ja-JP" altLang="ja-JP" sz="900" b="1" i="1">
                            <a:solidFill>
                              <a:schemeClr val="tx1"/>
                            </a:solidFill>
                            <a:effectLst/>
                            <a:latin typeface="Cambria Math"/>
                            <a:ea typeface="+mn-ea"/>
                            <a:cs typeface="+mn-cs"/>
                          </a:rPr>
                        </m:ctrlPr>
                      </m:fPr>
                      <m:num>
                        <m:r>
                          <a:rPr lang="en-US" altLang="ja-JP" sz="900">
                            <a:solidFill>
                              <a:schemeClr val="tx1"/>
                            </a:solidFill>
                            <a:effectLst/>
                            <a:latin typeface="Cambria Math"/>
                            <a:ea typeface="+mn-ea"/>
                            <a:cs typeface="+mn-cs"/>
                          </a:rPr>
                          <m:t>60</m:t>
                        </m:r>
                      </m:num>
                      <m:den>
                        <m:sSub>
                          <m:sSubPr>
                            <m:ctrlPr>
                              <a:rPr lang="ja-JP" altLang="ja-JP" sz="900" b="1"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c</m:t>
                            </m:r>
                            <m:r>
                              <a:rPr lang="en-US" altLang="ja-JP" sz="900">
                                <a:solidFill>
                                  <a:schemeClr val="tx1"/>
                                </a:solidFill>
                                <a:effectLst/>
                                <a:latin typeface="Cambria Math"/>
                                <a:ea typeface="+mn-ea"/>
                                <a:cs typeface="+mn-cs"/>
                              </a:rPr>
                              <m:t>0</m:t>
                            </m:r>
                          </m:sub>
                        </m:sSub>
                      </m:den>
                    </m:f>
                    <m:r>
                      <a:rPr lang="en-US" altLang="ja-JP" sz="900" b="1" i="1">
                        <a:solidFill>
                          <a:schemeClr val="tx1"/>
                        </a:solidFill>
                        <a:effectLst/>
                        <a:latin typeface="Cambria Math"/>
                        <a:ea typeface="+mn-ea"/>
                        <a:cs typeface="+mn-cs"/>
                      </a:rPr>
                      <m:t>+</m:t>
                    </m:r>
                    <m:f>
                      <m:fPr>
                        <m:ctrlPr>
                          <a:rPr lang="ja-JP" altLang="ja-JP" sz="900" b="1" i="1">
                            <a:solidFill>
                              <a:schemeClr val="tx1"/>
                            </a:solidFill>
                            <a:effectLst/>
                            <a:latin typeface="Cambria Math"/>
                            <a:ea typeface="+mn-ea"/>
                            <a:cs typeface="+mn-cs"/>
                          </a:rPr>
                        </m:ctrlPr>
                      </m:fPr>
                      <m:num>
                        <m:r>
                          <a:rPr lang="en-US" altLang="ja-JP" sz="900" i="1">
                            <a:solidFill>
                              <a:schemeClr val="tx1"/>
                            </a:solidFill>
                            <a:effectLst/>
                            <a:latin typeface="Cambria Math"/>
                            <a:ea typeface="+mn-ea"/>
                            <a:cs typeface="+mn-cs"/>
                          </a:rPr>
                          <m:t>𝐶</m:t>
                        </m:r>
                        <m:d>
                          <m:dPr>
                            <m:ctrlPr>
                              <a:rPr lang="ja-JP" altLang="ja-JP" sz="900" b="1" i="1">
                                <a:solidFill>
                                  <a:schemeClr val="tx1"/>
                                </a:solidFill>
                                <a:effectLst/>
                                <a:latin typeface="Cambria Math"/>
                                <a:ea typeface="+mn-ea"/>
                                <a:cs typeface="+mn-cs"/>
                              </a:rPr>
                            </m:ctrlPr>
                          </m:dPr>
                          <m:e>
                            <m:sSub>
                              <m:sSubPr>
                                <m:ctrlPr>
                                  <a:rPr lang="ja-JP" altLang="ja-JP" sz="900" b="1"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a:solidFill>
                                      <a:schemeClr val="tx1"/>
                                    </a:solidFill>
                                    <a:effectLst/>
                                    <a:latin typeface="Cambria Math"/>
                                    <a:ea typeface="+mn-ea"/>
                                    <a:cs typeface="+mn-cs"/>
                                  </a:rPr>
                                  <m:t>h</m:t>
                                </m:r>
                                <m:r>
                                  <m:rPr>
                                    <m:sty m:val="p"/>
                                  </m:rPr>
                                  <a:rPr lang="en-US" altLang="ja-JP" sz="900" b="0" i="0">
                                    <a:solidFill>
                                      <a:schemeClr val="tx1"/>
                                    </a:solidFill>
                                    <a:effectLst/>
                                    <a:latin typeface="Cambria Math"/>
                                    <a:ea typeface="+mn-ea"/>
                                    <a:cs typeface="+mn-cs"/>
                                  </a:rPr>
                                  <m:t>H</m:t>
                                </m:r>
                                <m:r>
                                  <a:rPr lang="en-US" altLang="ja-JP" sz="900">
                                    <a:solidFill>
                                      <a:schemeClr val="tx1"/>
                                    </a:solidFill>
                                    <a:effectLst/>
                                    <a:latin typeface="Cambria Math"/>
                                    <a:ea typeface="+mn-ea"/>
                                    <a:cs typeface="+mn-cs"/>
                                  </a:rPr>
                                  <m:t> </m:t>
                                </m:r>
                              </m:sub>
                            </m:sSub>
                            <m:r>
                              <a:rPr lang="en-US" altLang="ja-JP" sz="900" b="1" i="1">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60</m:t>
                            </m:r>
                          </m:e>
                        </m:d>
                        <m:sSub>
                          <m:sSubPr>
                            <m:ctrlPr>
                              <a:rPr lang="ja-JP" altLang="ja-JP" sz="900" b="1"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𝑊</m:t>
                            </m:r>
                          </m:e>
                          <m:sub>
                            <m:r>
                              <m:rPr>
                                <m:sty m:val="p"/>
                              </m:rPr>
                              <a:rPr lang="en-US" altLang="ja-JP" sz="900">
                                <a:solidFill>
                                  <a:schemeClr val="tx1"/>
                                </a:solidFill>
                                <a:effectLst/>
                                <a:latin typeface="Cambria Math"/>
                                <a:ea typeface="+mn-ea"/>
                                <a:cs typeface="+mn-cs"/>
                              </a:rPr>
                              <m:t>c</m:t>
                            </m:r>
                          </m:sub>
                        </m:sSub>
                      </m:num>
                      <m:den>
                        <m:r>
                          <a:rPr lang="en-US" altLang="ja-JP" sz="900">
                            <a:solidFill>
                              <a:schemeClr val="tx1"/>
                            </a:solidFill>
                            <a:effectLst/>
                            <a:latin typeface="Cambria Math"/>
                            <a:ea typeface="+mn-ea"/>
                            <a:cs typeface="+mn-cs"/>
                          </a:rPr>
                          <m:t>3600</m:t>
                        </m:r>
                      </m:den>
                    </m:f>
                  </m:oMath>
                </m:oMathPara>
              </a14:m>
              <a:endParaRPr kumimoji="1" lang="ja-JP" altLang="en-US" sz="900"/>
            </a:p>
          </xdr:txBody>
        </xdr:sp>
      </mc:Choice>
      <mc:Fallback xmlns="">
        <xdr:sp macro="" textlink="">
          <xdr:nvSpPr>
            <xdr:cNvPr id="13" name="テキスト ボックス 12"/>
            <xdr:cNvSpPr txBox="1"/>
          </xdr:nvSpPr>
          <xdr:spPr>
            <a:xfrm>
              <a:off x="8584406" y="5631656"/>
              <a:ext cx="1859672" cy="3845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ja-JP" altLang="ja-JP" sz="900" b="1" i="0">
                  <a:solidFill>
                    <a:schemeClr val="tx1"/>
                  </a:solidFill>
                  <a:effectLst/>
                  <a:latin typeface="Cambria Math"/>
                  <a:ea typeface="+mn-ea"/>
                  <a:cs typeface="+mn-cs"/>
                </a:rPr>
                <a:t>〖</a:t>
              </a:r>
              <a:r>
                <a:rPr lang="ja-JP" altLang="ja-JP" sz="90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𝑄</a:t>
              </a:r>
              <a:r>
                <a:rPr lang="ja-JP" altLang="ja-JP" sz="900" b="1"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c0</a:t>
              </a:r>
              <a:r>
                <a:rPr lang="en-US"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𝑃</a:t>
              </a:r>
              <a:r>
                <a:rPr lang="ja-JP" altLang="ja-JP" sz="900" b="1"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c0</a:t>
              </a:r>
              <a:r>
                <a:rPr lang="ja-JP" altLang="ja-JP" sz="900" b="1"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 60</a:t>
              </a:r>
              <a:r>
                <a:rPr lang="ja-JP"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𝑇</a:t>
              </a:r>
              <a:r>
                <a:rPr lang="ja-JP" altLang="ja-JP" sz="900" b="1"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c0</a:t>
              </a:r>
              <a:r>
                <a:rPr lang="en-US" altLang="ja-JP" sz="900" b="1" i="0">
                  <a:solidFill>
                    <a:schemeClr val="tx1"/>
                  </a:solidFill>
                  <a:effectLst/>
                  <a:latin typeface="Cambria Math"/>
                  <a:ea typeface="+mn-ea"/>
                  <a:cs typeface="+mn-cs"/>
                </a:rPr>
                <a:t> +</a:t>
              </a:r>
              <a:r>
                <a:rPr lang="ja-JP"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𝐶</a:t>
              </a:r>
              <a:r>
                <a:rPr lang="ja-JP"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𝜃</a:t>
              </a:r>
              <a:r>
                <a:rPr lang="ja-JP" altLang="ja-JP" sz="900" b="1"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h</a:t>
              </a:r>
              <a:r>
                <a:rPr lang="en-US" altLang="ja-JP" sz="900" b="0" i="0">
                  <a:solidFill>
                    <a:schemeClr val="tx1"/>
                  </a:solidFill>
                  <a:effectLst/>
                  <a:latin typeface="Cambria Math"/>
                  <a:ea typeface="+mn-ea"/>
                  <a:cs typeface="+mn-cs"/>
                </a:rPr>
                <a:t>H</a:t>
              </a:r>
              <a:r>
                <a:rPr lang="en-US" altLang="ja-JP" sz="900" i="0">
                  <a:solidFill>
                    <a:schemeClr val="tx1"/>
                  </a:solidFill>
                  <a:effectLst/>
                  <a:latin typeface="Cambria Math"/>
                  <a:ea typeface="+mn-ea"/>
                  <a:cs typeface="+mn-cs"/>
                </a:rPr>
                <a:t> </a:t>
              </a:r>
              <a:r>
                <a:rPr lang="ja-JP" altLang="ja-JP" sz="900" b="1" i="0">
                  <a:solidFill>
                    <a:schemeClr val="tx1"/>
                  </a:solidFill>
                  <a:effectLst/>
                  <a:latin typeface="Cambria Math"/>
                  <a:ea typeface="+mn-ea"/>
                  <a:cs typeface="+mn-cs"/>
                </a:rPr>
                <a:t>)</a:t>
              </a:r>
              <a:r>
                <a:rPr lang="en-US"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60</a:t>
              </a:r>
              <a:r>
                <a:rPr lang="en-US" altLang="ja-JP" sz="900" b="1" i="0">
                  <a:solidFill>
                    <a:schemeClr val="tx1"/>
                  </a:solidFill>
                  <a:effectLst/>
                  <a:latin typeface="Cambria Math"/>
                  <a:ea typeface="+mn-ea"/>
                  <a:cs typeface="+mn-cs"/>
                </a:rPr>
                <a:t>)</a:t>
              </a:r>
              <a:r>
                <a:rPr lang="ja-JP" altLang="ja-JP" sz="900" b="1"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𝑊</a:t>
              </a:r>
              <a:r>
                <a:rPr lang="ja-JP" altLang="ja-JP" sz="900" b="1"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a:t>
              </a:r>
              <a:r>
                <a:rPr lang="ja-JP"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3600</a:t>
              </a:r>
              <a:endParaRPr kumimoji="1" lang="ja-JP" altLang="en-US" sz="900"/>
            </a:p>
          </xdr:txBody>
        </xdr:sp>
      </mc:Fallback>
    </mc:AlternateContent>
    <xdr:clientData/>
  </xdr:oneCellAnchor>
  <xdr:oneCellAnchor>
    <xdr:from>
      <xdr:col>16</xdr:col>
      <xdr:colOff>0</xdr:colOff>
      <xdr:row>27</xdr:row>
      <xdr:rowOff>0</xdr:rowOff>
    </xdr:from>
    <xdr:ext cx="1859672" cy="384529"/>
    <mc:AlternateContent xmlns:mc="http://schemas.openxmlformats.org/markup-compatibility/2006" xmlns:a14="http://schemas.microsoft.com/office/drawing/2010/main">
      <mc:Choice Requires="a14">
        <xdr:sp macro="" textlink="">
          <xdr:nvSpPr>
            <xdr:cNvPr id="14" name="テキスト ボックス 13"/>
            <xdr:cNvSpPr txBox="1"/>
          </xdr:nvSpPr>
          <xdr:spPr>
            <a:xfrm>
              <a:off x="8579827" y="6074019"/>
              <a:ext cx="1859672" cy="3845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900" b="1" i="1">
                            <a:solidFill>
                              <a:schemeClr val="tx1"/>
                            </a:solidFill>
                            <a:effectLst/>
                            <a:latin typeface="Cambria Math"/>
                            <a:ea typeface="+mn-ea"/>
                            <a:cs typeface="+mn-cs"/>
                          </a:rPr>
                        </m:ctrlPr>
                      </m:sSubPr>
                      <m:e>
                        <m:r>
                          <a:rPr lang="ja-JP" altLang="ja-JP" sz="900" i="1">
                            <a:solidFill>
                              <a:schemeClr val="tx1"/>
                            </a:solidFill>
                            <a:effectLst/>
                            <a:latin typeface="Cambria Math"/>
                            <a:ea typeface="+mn-ea"/>
                            <a:cs typeface="+mn-cs"/>
                          </a:rPr>
                          <m:t>　</m:t>
                        </m:r>
                        <m:r>
                          <a:rPr lang="en-US" altLang="ja-JP" sz="900" i="1">
                            <a:solidFill>
                              <a:schemeClr val="tx1"/>
                            </a:solidFill>
                            <a:effectLst/>
                            <a:latin typeface="Cambria Math"/>
                            <a:ea typeface="+mn-ea"/>
                            <a:cs typeface="+mn-cs"/>
                          </a:rPr>
                          <m:t>𝑄</m:t>
                        </m:r>
                      </m:e>
                      <m:sub>
                        <m:r>
                          <m:rPr>
                            <m:sty m:val="p"/>
                          </m:rPr>
                          <a:rPr lang="en-US" altLang="ja-JP" sz="900">
                            <a:solidFill>
                              <a:schemeClr val="tx1"/>
                            </a:solidFill>
                            <a:effectLst/>
                            <a:latin typeface="Cambria Math"/>
                            <a:ea typeface="+mn-ea"/>
                            <a:cs typeface="+mn-cs"/>
                          </a:rPr>
                          <m:t>c</m:t>
                        </m:r>
                        <m:r>
                          <a:rPr lang="en-US" altLang="ja-JP" sz="900">
                            <a:solidFill>
                              <a:schemeClr val="tx1"/>
                            </a:solidFill>
                            <a:effectLst/>
                            <a:latin typeface="Cambria Math"/>
                            <a:ea typeface="+mn-ea"/>
                            <a:cs typeface="+mn-cs"/>
                          </a:rPr>
                          <m:t>0</m:t>
                        </m:r>
                      </m:sub>
                    </m:sSub>
                    <m:r>
                      <a:rPr lang="en-US" altLang="ja-JP" sz="900" b="1">
                        <a:solidFill>
                          <a:schemeClr val="tx1"/>
                        </a:solidFill>
                        <a:effectLst/>
                        <a:latin typeface="Cambria Math"/>
                        <a:ea typeface="+mn-ea"/>
                        <a:cs typeface="+mn-cs"/>
                      </a:rPr>
                      <m:t>=</m:t>
                    </m:r>
                    <m:sSub>
                      <m:sSubPr>
                        <m:ctrlPr>
                          <a:rPr lang="ja-JP" altLang="ja-JP" sz="900" b="1"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𝑃</m:t>
                        </m:r>
                      </m:e>
                      <m:sub>
                        <m:r>
                          <m:rPr>
                            <m:sty m:val="p"/>
                          </m:rPr>
                          <a:rPr lang="en-US" altLang="ja-JP" sz="900">
                            <a:solidFill>
                              <a:schemeClr val="tx1"/>
                            </a:solidFill>
                            <a:effectLst/>
                            <a:latin typeface="Cambria Math"/>
                            <a:ea typeface="+mn-ea"/>
                            <a:cs typeface="+mn-cs"/>
                          </a:rPr>
                          <m:t>c</m:t>
                        </m:r>
                        <m:r>
                          <a:rPr lang="en-US" altLang="ja-JP" sz="900">
                            <a:solidFill>
                              <a:schemeClr val="tx1"/>
                            </a:solidFill>
                            <a:effectLst/>
                            <a:latin typeface="Cambria Math"/>
                            <a:ea typeface="+mn-ea"/>
                            <a:cs typeface="+mn-cs"/>
                          </a:rPr>
                          <m:t>0</m:t>
                        </m:r>
                      </m:sub>
                    </m:sSub>
                    <m:f>
                      <m:fPr>
                        <m:ctrlPr>
                          <a:rPr lang="ja-JP" altLang="ja-JP" sz="900" b="1" i="1">
                            <a:solidFill>
                              <a:schemeClr val="tx1"/>
                            </a:solidFill>
                            <a:effectLst/>
                            <a:latin typeface="Cambria Math"/>
                            <a:ea typeface="+mn-ea"/>
                            <a:cs typeface="+mn-cs"/>
                          </a:rPr>
                        </m:ctrlPr>
                      </m:fPr>
                      <m:num>
                        <m:r>
                          <a:rPr lang="en-US" altLang="ja-JP" sz="900">
                            <a:solidFill>
                              <a:schemeClr val="tx1"/>
                            </a:solidFill>
                            <a:effectLst/>
                            <a:latin typeface="Cambria Math"/>
                            <a:ea typeface="+mn-ea"/>
                            <a:cs typeface="+mn-cs"/>
                          </a:rPr>
                          <m:t>60</m:t>
                        </m:r>
                      </m:num>
                      <m:den>
                        <m:sSub>
                          <m:sSubPr>
                            <m:ctrlPr>
                              <a:rPr lang="ja-JP" altLang="ja-JP" sz="900" b="1"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𝑇</m:t>
                            </m:r>
                          </m:e>
                          <m:sub>
                            <m:r>
                              <m:rPr>
                                <m:sty m:val="p"/>
                              </m:rPr>
                              <a:rPr lang="en-US" altLang="ja-JP" sz="900">
                                <a:solidFill>
                                  <a:schemeClr val="tx1"/>
                                </a:solidFill>
                                <a:effectLst/>
                                <a:latin typeface="Cambria Math"/>
                                <a:ea typeface="+mn-ea"/>
                                <a:cs typeface="+mn-cs"/>
                              </a:rPr>
                              <m:t>c</m:t>
                            </m:r>
                            <m:r>
                              <a:rPr lang="en-US" altLang="ja-JP" sz="900">
                                <a:solidFill>
                                  <a:schemeClr val="tx1"/>
                                </a:solidFill>
                                <a:effectLst/>
                                <a:latin typeface="Cambria Math"/>
                                <a:ea typeface="+mn-ea"/>
                                <a:cs typeface="+mn-cs"/>
                              </a:rPr>
                              <m:t>0</m:t>
                            </m:r>
                          </m:sub>
                        </m:sSub>
                      </m:den>
                    </m:f>
                    <m:r>
                      <a:rPr lang="en-US" altLang="ja-JP" sz="900" b="1" i="1">
                        <a:solidFill>
                          <a:schemeClr val="tx1"/>
                        </a:solidFill>
                        <a:effectLst/>
                        <a:latin typeface="Cambria Math"/>
                        <a:ea typeface="+mn-ea"/>
                        <a:cs typeface="+mn-cs"/>
                      </a:rPr>
                      <m:t>+</m:t>
                    </m:r>
                    <m:f>
                      <m:fPr>
                        <m:ctrlPr>
                          <a:rPr lang="ja-JP" altLang="ja-JP" sz="900" b="1" i="1">
                            <a:solidFill>
                              <a:schemeClr val="tx1"/>
                            </a:solidFill>
                            <a:effectLst/>
                            <a:latin typeface="Cambria Math"/>
                            <a:ea typeface="+mn-ea"/>
                            <a:cs typeface="+mn-cs"/>
                          </a:rPr>
                        </m:ctrlPr>
                      </m:fPr>
                      <m:num>
                        <m:r>
                          <a:rPr lang="en-US" altLang="ja-JP" sz="900" i="1">
                            <a:solidFill>
                              <a:schemeClr val="tx1"/>
                            </a:solidFill>
                            <a:effectLst/>
                            <a:latin typeface="Cambria Math"/>
                            <a:ea typeface="+mn-ea"/>
                            <a:cs typeface="+mn-cs"/>
                          </a:rPr>
                          <m:t>𝐶</m:t>
                        </m:r>
                        <m:d>
                          <m:dPr>
                            <m:ctrlPr>
                              <a:rPr lang="ja-JP" altLang="ja-JP" sz="900" b="1" i="1">
                                <a:solidFill>
                                  <a:schemeClr val="tx1"/>
                                </a:solidFill>
                                <a:effectLst/>
                                <a:latin typeface="Cambria Math"/>
                                <a:ea typeface="+mn-ea"/>
                                <a:cs typeface="+mn-cs"/>
                              </a:rPr>
                            </m:ctrlPr>
                          </m:dPr>
                          <m:e>
                            <m:sSub>
                              <m:sSubPr>
                                <m:ctrlPr>
                                  <a:rPr lang="ja-JP" altLang="ja-JP" sz="900" b="1"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𝜃</m:t>
                                </m:r>
                              </m:e>
                              <m:sub>
                                <m:r>
                                  <m:rPr>
                                    <m:sty m:val="p"/>
                                  </m:rPr>
                                  <a:rPr lang="en-US" altLang="ja-JP" sz="900">
                                    <a:solidFill>
                                      <a:schemeClr val="tx1"/>
                                    </a:solidFill>
                                    <a:effectLst/>
                                    <a:latin typeface="Cambria Math"/>
                                    <a:ea typeface="+mn-ea"/>
                                    <a:cs typeface="+mn-cs"/>
                                  </a:rPr>
                                  <m:t>h</m:t>
                                </m:r>
                                <m:r>
                                  <m:rPr>
                                    <m:sty m:val="p"/>
                                  </m:rPr>
                                  <a:rPr lang="en-US" altLang="ja-JP" sz="900" b="0" i="0">
                                    <a:solidFill>
                                      <a:schemeClr val="tx1"/>
                                    </a:solidFill>
                                    <a:effectLst/>
                                    <a:latin typeface="Cambria Math"/>
                                    <a:ea typeface="+mn-ea"/>
                                    <a:cs typeface="+mn-cs"/>
                                  </a:rPr>
                                  <m:t>C</m:t>
                                </m:r>
                                <m:r>
                                  <a:rPr lang="en-US" altLang="ja-JP" sz="900">
                                    <a:solidFill>
                                      <a:schemeClr val="tx1"/>
                                    </a:solidFill>
                                    <a:effectLst/>
                                    <a:latin typeface="Cambria Math"/>
                                    <a:ea typeface="+mn-ea"/>
                                    <a:cs typeface="+mn-cs"/>
                                  </a:rPr>
                                  <m:t> </m:t>
                                </m:r>
                              </m:sub>
                            </m:sSub>
                            <m:r>
                              <a:rPr lang="en-US" altLang="ja-JP" sz="900" b="1" i="1">
                                <a:solidFill>
                                  <a:schemeClr val="tx1"/>
                                </a:solidFill>
                                <a:effectLst/>
                                <a:latin typeface="Cambria Math"/>
                                <a:ea typeface="+mn-ea"/>
                                <a:cs typeface="+mn-cs"/>
                              </a:rPr>
                              <m:t>−</m:t>
                            </m:r>
                            <m:r>
                              <a:rPr lang="en-US" altLang="ja-JP" sz="900" b="0" i="0">
                                <a:solidFill>
                                  <a:schemeClr val="tx1"/>
                                </a:solidFill>
                                <a:effectLst/>
                                <a:latin typeface="Cambria Math"/>
                                <a:ea typeface="+mn-ea"/>
                                <a:cs typeface="+mn-cs"/>
                              </a:rPr>
                              <m:t>15</m:t>
                            </m:r>
                          </m:e>
                        </m:d>
                        <m:sSub>
                          <m:sSubPr>
                            <m:ctrlPr>
                              <a:rPr lang="ja-JP" altLang="ja-JP" sz="900" b="1"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𝑊</m:t>
                            </m:r>
                          </m:e>
                          <m:sub>
                            <m:r>
                              <m:rPr>
                                <m:sty m:val="p"/>
                              </m:rPr>
                              <a:rPr lang="en-US" altLang="ja-JP" sz="900">
                                <a:solidFill>
                                  <a:schemeClr val="tx1"/>
                                </a:solidFill>
                                <a:effectLst/>
                                <a:latin typeface="Cambria Math"/>
                                <a:ea typeface="+mn-ea"/>
                                <a:cs typeface="+mn-cs"/>
                              </a:rPr>
                              <m:t>c</m:t>
                            </m:r>
                          </m:sub>
                        </m:sSub>
                      </m:num>
                      <m:den>
                        <m:r>
                          <a:rPr lang="en-US" altLang="ja-JP" sz="900">
                            <a:solidFill>
                              <a:schemeClr val="tx1"/>
                            </a:solidFill>
                            <a:effectLst/>
                            <a:latin typeface="Cambria Math"/>
                            <a:ea typeface="+mn-ea"/>
                            <a:cs typeface="+mn-cs"/>
                          </a:rPr>
                          <m:t>3600</m:t>
                        </m:r>
                      </m:den>
                    </m:f>
                  </m:oMath>
                </m:oMathPara>
              </a14:m>
              <a:endParaRPr kumimoji="1" lang="ja-JP" altLang="en-US" sz="900"/>
            </a:p>
          </xdr:txBody>
        </xdr:sp>
      </mc:Choice>
      <mc:Fallback xmlns="">
        <xdr:sp macro="" textlink="">
          <xdr:nvSpPr>
            <xdr:cNvPr id="14" name="テキスト ボックス 13"/>
            <xdr:cNvSpPr txBox="1"/>
          </xdr:nvSpPr>
          <xdr:spPr>
            <a:xfrm>
              <a:off x="8579827" y="6074019"/>
              <a:ext cx="1859672" cy="3845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ja-JP" altLang="ja-JP" sz="900" b="1" i="0">
                  <a:solidFill>
                    <a:schemeClr val="tx1"/>
                  </a:solidFill>
                  <a:effectLst/>
                  <a:latin typeface="Cambria Math"/>
                  <a:ea typeface="+mn-ea"/>
                  <a:cs typeface="+mn-cs"/>
                </a:rPr>
                <a:t>〖</a:t>
              </a:r>
              <a:r>
                <a:rPr lang="ja-JP" altLang="ja-JP" sz="900"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𝑄</a:t>
              </a:r>
              <a:r>
                <a:rPr lang="ja-JP" altLang="ja-JP" sz="900" b="1"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c0</a:t>
              </a:r>
              <a:r>
                <a:rPr lang="en-US"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𝑃</a:t>
              </a:r>
              <a:r>
                <a:rPr lang="ja-JP" altLang="ja-JP" sz="900" b="1"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c0</a:t>
              </a:r>
              <a:r>
                <a:rPr lang="ja-JP" altLang="ja-JP" sz="900" b="1"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 60</a:t>
              </a:r>
              <a:r>
                <a:rPr lang="ja-JP"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𝑇</a:t>
              </a:r>
              <a:r>
                <a:rPr lang="ja-JP" altLang="ja-JP" sz="900" b="1"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c0</a:t>
              </a:r>
              <a:r>
                <a:rPr lang="en-US" altLang="ja-JP" sz="900" b="1" i="0">
                  <a:solidFill>
                    <a:schemeClr val="tx1"/>
                  </a:solidFill>
                  <a:effectLst/>
                  <a:latin typeface="Cambria Math"/>
                  <a:ea typeface="+mn-ea"/>
                  <a:cs typeface="+mn-cs"/>
                </a:rPr>
                <a:t> +</a:t>
              </a:r>
              <a:r>
                <a:rPr lang="ja-JP"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𝐶</a:t>
              </a:r>
              <a:r>
                <a:rPr lang="ja-JP"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𝜃</a:t>
              </a:r>
              <a:r>
                <a:rPr lang="ja-JP" altLang="ja-JP" sz="900" b="1"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h</a:t>
              </a:r>
              <a:r>
                <a:rPr lang="en-US" altLang="ja-JP" sz="900" b="0" i="0">
                  <a:solidFill>
                    <a:schemeClr val="tx1"/>
                  </a:solidFill>
                  <a:effectLst/>
                  <a:latin typeface="Cambria Math"/>
                  <a:ea typeface="+mn-ea"/>
                  <a:cs typeface="+mn-cs"/>
                </a:rPr>
                <a:t>C</a:t>
              </a:r>
              <a:r>
                <a:rPr lang="en-US" altLang="ja-JP" sz="900" i="0">
                  <a:solidFill>
                    <a:schemeClr val="tx1"/>
                  </a:solidFill>
                  <a:effectLst/>
                  <a:latin typeface="Cambria Math"/>
                  <a:ea typeface="+mn-ea"/>
                  <a:cs typeface="+mn-cs"/>
                </a:rPr>
                <a:t> </a:t>
              </a:r>
              <a:r>
                <a:rPr lang="ja-JP" altLang="ja-JP" sz="900" b="1" i="0">
                  <a:solidFill>
                    <a:schemeClr val="tx1"/>
                  </a:solidFill>
                  <a:effectLst/>
                  <a:latin typeface="Cambria Math"/>
                  <a:ea typeface="+mn-ea"/>
                  <a:cs typeface="+mn-cs"/>
                </a:rPr>
                <a:t>)</a:t>
              </a:r>
              <a:r>
                <a:rPr lang="en-US" altLang="ja-JP" sz="900" b="1" i="0">
                  <a:solidFill>
                    <a:schemeClr val="tx1"/>
                  </a:solidFill>
                  <a:effectLst/>
                  <a:latin typeface="Cambria Math"/>
                  <a:ea typeface="+mn-ea"/>
                  <a:cs typeface="+mn-cs"/>
                </a:rPr>
                <a:t>−</a:t>
              </a:r>
              <a:r>
                <a:rPr lang="en-US" altLang="ja-JP" sz="900" b="0" i="0">
                  <a:solidFill>
                    <a:schemeClr val="tx1"/>
                  </a:solidFill>
                  <a:effectLst/>
                  <a:latin typeface="Cambria Math"/>
                  <a:ea typeface="+mn-ea"/>
                  <a:cs typeface="+mn-cs"/>
                </a:rPr>
                <a:t>15</a:t>
              </a:r>
              <a:r>
                <a:rPr lang="en-US" altLang="ja-JP" sz="900" b="1" i="0">
                  <a:solidFill>
                    <a:schemeClr val="tx1"/>
                  </a:solidFill>
                  <a:effectLst/>
                  <a:latin typeface="Cambria Math"/>
                  <a:ea typeface="+mn-ea"/>
                  <a:cs typeface="+mn-cs"/>
                </a:rPr>
                <a:t>)</a:t>
              </a:r>
              <a:r>
                <a:rPr lang="ja-JP" altLang="ja-JP" sz="900" b="1" i="0">
                  <a:solidFill>
                    <a:schemeClr val="tx1"/>
                  </a:solidFill>
                  <a:effectLst/>
                  <a:latin typeface="Cambria Math"/>
                  <a:ea typeface="+mn-ea"/>
                  <a:cs typeface="+mn-cs"/>
                </a:rPr>
                <a:t> </a:t>
              </a:r>
              <a:r>
                <a:rPr lang="en-US" altLang="ja-JP" sz="900" i="0">
                  <a:solidFill>
                    <a:schemeClr val="tx1"/>
                  </a:solidFill>
                  <a:effectLst/>
                  <a:latin typeface="Cambria Math"/>
                  <a:ea typeface="+mn-ea"/>
                  <a:cs typeface="+mn-cs"/>
                </a:rPr>
                <a:t>𝑊</a:t>
              </a:r>
              <a:r>
                <a:rPr lang="ja-JP" altLang="ja-JP" sz="900" b="1"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c</a:t>
              </a:r>
              <a:r>
                <a:rPr lang="ja-JP" altLang="ja-JP" sz="900" b="1"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3600</a:t>
              </a:r>
              <a:endParaRPr kumimoji="1" lang="ja-JP" altLang="en-US" sz="9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1</xdr:col>
          <xdr:colOff>117230</xdr:colOff>
          <xdr:row>7</xdr:row>
          <xdr:rowOff>219808</xdr:rowOff>
        </xdr:from>
        <xdr:to>
          <xdr:col>7</xdr:col>
          <xdr:colOff>16565</xdr:colOff>
          <xdr:row>9</xdr:row>
          <xdr:rowOff>173934</xdr:rowOff>
        </xdr:to>
        <xdr:pic>
          <xdr:nvPicPr>
            <xdr:cNvPr id="15" name="図 63"/>
            <xdr:cNvPicPr>
              <a:picLocks noChangeAspect="1" noChangeArrowheads="1"/>
              <a:extLst>
                <a:ext uri="{84589F7E-364E-4C9E-8A38-B11213B215E9}">
                  <a14:cameraTool cellRange="消費立式" spid="_x0000_s13405"/>
                </a:ext>
              </a:extLst>
            </xdr:cNvPicPr>
          </xdr:nvPicPr>
          <xdr:blipFill>
            <a:blip xmlns:r="http://schemas.openxmlformats.org/officeDocument/2006/relationships" r:embed="rId1"/>
            <a:srcRect/>
            <a:stretch>
              <a:fillRect/>
            </a:stretch>
          </xdr:blipFill>
          <xdr:spPr bwMode="auto">
            <a:xfrm>
              <a:off x="837817" y="2249047"/>
              <a:ext cx="3543683" cy="492496"/>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xdr:colOff>
          <xdr:row>27</xdr:row>
          <xdr:rowOff>1</xdr:rowOff>
        </xdr:from>
        <xdr:to>
          <xdr:col>4</xdr:col>
          <xdr:colOff>11907</xdr:colOff>
          <xdr:row>28</xdr:row>
          <xdr:rowOff>160734</xdr:rowOff>
        </xdr:to>
        <xdr:pic>
          <xdr:nvPicPr>
            <xdr:cNvPr id="20" name="図 63"/>
            <xdr:cNvPicPr>
              <a:picLocks noChangeAspect="1" noChangeArrowheads="1"/>
              <a:extLst>
                <a:ext uri="{84589F7E-364E-4C9E-8A38-B11213B215E9}">
                  <a14:cameraTool cellRange="消費無処式" spid="_x0000_s13406"/>
                </a:ext>
              </a:extLst>
            </xdr:cNvPicPr>
          </xdr:nvPicPr>
          <xdr:blipFill>
            <a:blip xmlns:r="http://schemas.openxmlformats.org/officeDocument/2006/relationships" r:embed="rId2"/>
            <a:srcRect/>
            <a:stretch>
              <a:fillRect/>
            </a:stretch>
          </xdr:blipFill>
          <xdr:spPr bwMode="auto">
            <a:xfrm>
              <a:off x="666751" y="6048376"/>
              <a:ext cx="2012156" cy="351233"/>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645763</xdr:colOff>
          <xdr:row>10</xdr:row>
          <xdr:rowOff>174355</xdr:rowOff>
        </xdr:from>
        <xdr:to>
          <xdr:col>2</xdr:col>
          <xdr:colOff>73210</xdr:colOff>
          <xdr:row>11</xdr:row>
          <xdr:rowOff>209747</xdr:rowOff>
        </xdr:to>
        <xdr:pic>
          <xdr:nvPicPr>
            <xdr:cNvPr id="24" name="図 63"/>
            <xdr:cNvPicPr>
              <a:picLocks noChangeAspect="1" noChangeArrowheads="1"/>
              <a:extLst>
                <a:ext uri="{84589F7E-364E-4C9E-8A38-B11213B215E9}">
                  <a14:cameraTool cellRange="温記号" spid="_x0000_s13407"/>
                </a:ext>
              </a:extLst>
            </xdr:cNvPicPr>
          </xdr:nvPicPr>
          <xdr:blipFill>
            <a:blip xmlns:r="http://schemas.openxmlformats.org/officeDocument/2006/relationships" r:embed="rId3"/>
            <a:srcRect/>
            <a:stretch>
              <a:fillRect/>
            </a:stretch>
          </xdr:blipFill>
          <xdr:spPr bwMode="auto">
            <a:xfrm>
              <a:off x="645763" y="2482957"/>
              <a:ext cx="731888" cy="25495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154983</xdr:colOff>
          <xdr:row>10</xdr:row>
          <xdr:rowOff>180813</xdr:rowOff>
        </xdr:from>
        <xdr:to>
          <xdr:col>8</xdr:col>
          <xdr:colOff>305684</xdr:colOff>
          <xdr:row>11</xdr:row>
          <xdr:rowOff>216205</xdr:rowOff>
        </xdr:to>
        <xdr:pic>
          <xdr:nvPicPr>
            <xdr:cNvPr id="25" name="図 63"/>
            <xdr:cNvPicPr>
              <a:picLocks noChangeAspect="1" noChangeArrowheads="1"/>
              <a:extLst>
                <a:ext uri="{84589F7E-364E-4C9E-8A38-B11213B215E9}">
                  <a14:cameraTool cellRange="温記号" spid="_x0000_s13408"/>
                </a:ext>
              </a:extLst>
            </xdr:cNvPicPr>
          </xdr:nvPicPr>
          <xdr:blipFill>
            <a:blip xmlns:r="http://schemas.openxmlformats.org/officeDocument/2006/relationships" r:embed="rId4"/>
            <a:srcRect/>
            <a:stretch>
              <a:fillRect/>
            </a:stretch>
          </xdr:blipFill>
          <xdr:spPr bwMode="auto">
            <a:xfrm>
              <a:off x="4513881" y="2489415"/>
              <a:ext cx="731888" cy="25495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645763</xdr:colOff>
          <xdr:row>30</xdr:row>
          <xdr:rowOff>180814</xdr:rowOff>
        </xdr:from>
        <xdr:to>
          <xdr:col>2</xdr:col>
          <xdr:colOff>73210</xdr:colOff>
          <xdr:row>31</xdr:row>
          <xdr:rowOff>216205</xdr:rowOff>
        </xdr:to>
        <xdr:pic>
          <xdr:nvPicPr>
            <xdr:cNvPr id="26" name="図 63"/>
            <xdr:cNvPicPr>
              <a:picLocks noChangeAspect="1" noChangeArrowheads="1"/>
              <a:extLst>
                <a:ext uri="{84589F7E-364E-4C9E-8A38-B11213B215E9}">
                  <a14:cameraTool cellRange="温記号" spid="_x0000_s13409"/>
                </a:ext>
              </a:extLst>
            </xdr:cNvPicPr>
          </xdr:nvPicPr>
          <xdr:blipFill>
            <a:blip xmlns:r="http://schemas.openxmlformats.org/officeDocument/2006/relationships" r:embed="rId5"/>
            <a:srcRect/>
            <a:stretch>
              <a:fillRect/>
            </a:stretch>
          </xdr:blipFill>
          <xdr:spPr bwMode="auto">
            <a:xfrm>
              <a:off x="645763" y="6441483"/>
              <a:ext cx="731888" cy="25495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364856</xdr:colOff>
          <xdr:row>30</xdr:row>
          <xdr:rowOff>177585</xdr:rowOff>
        </xdr:from>
        <xdr:to>
          <xdr:col>7</xdr:col>
          <xdr:colOff>325058</xdr:colOff>
          <xdr:row>31</xdr:row>
          <xdr:rowOff>212976</xdr:rowOff>
        </xdr:to>
        <xdr:pic>
          <xdr:nvPicPr>
            <xdr:cNvPr id="27" name="図 63"/>
            <xdr:cNvPicPr>
              <a:picLocks noChangeAspect="1" noChangeArrowheads="1"/>
              <a:extLst>
                <a:ext uri="{84589F7E-364E-4C9E-8A38-B11213B215E9}">
                  <a14:cameraTool cellRange="温記号" spid="_x0000_s13410"/>
                </a:ext>
              </a:extLst>
            </xdr:cNvPicPr>
          </xdr:nvPicPr>
          <xdr:blipFill>
            <a:blip xmlns:r="http://schemas.openxmlformats.org/officeDocument/2006/relationships" r:embed="rId6"/>
            <a:srcRect/>
            <a:stretch>
              <a:fillRect/>
            </a:stretch>
          </xdr:blipFill>
          <xdr:spPr bwMode="auto">
            <a:xfrm>
              <a:off x="3952068" y="6438254"/>
              <a:ext cx="731888" cy="254951"/>
            </a:xfrm>
            <a:prstGeom prst="rect">
              <a:avLst/>
            </a:prstGeom>
            <a:noFill/>
            <a:ln w="9525">
              <a:noFill/>
              <a:miter lim="800000"/>
              <a:headEnd/>
              <a:tailEnd/>
            </a:ln>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114300</xdr:colOff>
      <xdr:row>22</xdr:row>
      <xdr:rowOff>85725</xdr:rowOff>
    </xdr:from>
    <xdr:to>
      <xdr:col>4</xdr:col>
      <xdr:colOff>219075</xdr:colOff>
      <xdr:row>22</xdr:row>
      <xdr:rowOff>304800</xdr:rowOff>
    </xdr:to>
    <xdr:pic>
      <xdr:nvPicPr>
        <xdr:cNvPr id="1277" name="Picture 1"/>
        <xdr:cNvPicPr>
          <a:picLocks noChangeAspect="1" noChangeArrowheads="1"/>
        </xdr:cNvPicPr>
      </xdr:nvPicPr>
      <xdr:blipFill>
        <a:blip xmlns:r="http://schemas.openxmlformats.org/officeDocument/2006/relationships" r:embed="rId1">
          <a:lum bright="-26000" contrast="58000"/>
          <a:extLst>
            <a:ext uri="{28A0092B-C50C-407E-A947-70E740481C1C}">
              <a14:useLocalDpi xmlns:a14="http://schemas.microsoft.com/office/drawing/2010/main" val="0"/>
            </a:ext>
          </a:extLst>
        </a:blip>
        <a:srcRect/>
        <a:stretch>
          <a:fillRect/>
        </a:stretch>
      </xdr:blipFill>
      <xdr:spPr bwMode="auto">
        <a:xfrm>
          <a:off x="1428750" y="5305425"/>
          <a:ext cx="17335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403;&#27743;/&#38651;&#21270;&#21416;&#25151;&#22577;&#21578;&#26360;/&#12460;&#12473;&#20849;&#36890;/20170207&#25552;&#20986;/&#12525;&#12483;&#12463;&#28961;&#12375;/&#26989;&#21209;&#29992;&#21416;&#25151;&#27231;&#22120;&#31561;&#24615;&#33021;&#28204;&#23450;&#32080;&#26524;(11&#65393;&#65437;&#65408;&#65438;&#65392;&#65398;&#65395;&#65437;&#65408;&#65392;&#27927;&#27972;&#27231;&#12394;&#12393;_&#24467;&#26469;&#34920;&#32025;)17.1.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1.定格消費電力"/>
      <sheetName val="3.立上り性能A"/>
      <sheetName val="3.立上り性能B"/>
      <sheetName val="4.処理能力"/>
      <sheetName val="5.消費電力量"/>
      <sheetName val="6.給湯量"/>
    </sheetNames>
    <sheetDataSet>
      <sheetData sheetId="0"/>
      <sheetData sheetId="1"/>
      <sheetData sheetId="2"/>
      <sheetData sheetId="3">
        <row r="32">
          <cell r="L32" t="str">
            <v>立給湯</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abSelected="1" view="pageBreakPreview" zoomScaleNormal="100" zoomScaleSheetLayoutView="100" workbookViewId="0">
      <selection activeCell="H14" sqref="H14:I14"/>
    </sheetView>
  </sheetViews>
  <sheetFormatPr defaultRowHeight="13.5"/>
  <cols>
    <col min="1" max="1" width="13.625" style="4" customWidth="1"/>
    <col min="2" max="2" width="12.625" style="4" customWidth="1"/>
    <col min="3" max="3" width="3.75" style="4" customWidth="1"/>
    <col min="4" max="4" width="5.5" style="4" customWidth="1"/>
    <col min="5" max="5" width="10.5" style="4" customWidth="1"/>
    <col min="6" max="6" width="5.5" style="4" customWidth="1"/>
    <col min="7" max="7" width="7.625" style="4" customWidth="1"/>
    <col min="8" max="8" width="7.875" style="4" customWidth="1"/>
    <col min="9" max="9" width="7" style="4" customWidth="1"/>
    <col min="10" max="10" width="8" style="4" customWidth="1"/>
    <col min="11" max="11" width="7.125" style="4" customWidth="1"/>
    <col min="12" max="12" width="5.625" style="4" customWidth="1"/>
    <col min="13" max="13" width="25.625" style="4" customWidth="1"/>
    <col min="14" max="14" width="10.875" style="4" customWidth="1"/>
    <col min="15" max="17" width="8.875" style="181" customWidth="1"/>
    <col min="18" max="18" width="24.625" style="181" customWidth="1"/>
    <col min="19" max="19" width="20.125" style="4" bestFit="1" customWidth="1"/>
    <col min="20" max="16384" width="9" style="4"/>
  </cols>
  <sheetData>
    <row r="1" spans="1:20" ht="14.25" thickBot="1">
      <c r="A1" s="287"/>
      <c r="B1" s="287"/>
      <c r="C1" s="287"/>
      <c r="D1" s="287"/>
      <c r="E1" s="287"/>
      <c r="F1" s="226"/>
      <c r="G1" s="288"/>
      <c r="H1" s="226"/>
      <c r="I1" s="288"/>
      <c r="J1" s="445"/>
      <c r="K1" s="445"/>
    </row>
    <row r="2" spans="1:20" ht="19.5" customHeight="1" thickTop="1" thickBot="1">
      <c r="A2" s="466" t="s">
        <v>271</v>
      </c>
      <c r="B2" s="467"/>
      <c r="C2" s="467"/>
      <c r="D2" s="467"/>
      <c r="E2" s="467"/>
      <c r="F2" s="467"/>
      <c r="G2" s="467"/>
      <c r="H2" s="467"/>
      <c r="I2" s="467"/>
      <c r="J2" s="467"/>
      <c r="K2" s="468"/>
    </row>
    <row r="3" spans="1:20" ht="21" customHeight="1" thickTop="1">
      <c r="A3" s="480" t="s">
        <v>27</v>
      </c>
      <c r="B3" s="471" t="s">
        <v>171</v>
      </c>
      <c r="C3" s="472"/>
      <c r="D3" s="472"/>
      <c r="E3" s="472"/>
      <c r="F3" s="472"/>
      <c r="G3" s="472"/>
      <c r="H3" s="473"/>
      <c r="I3" s="118" t="s">
        <v>194</v>
      </c>
      <c r="J3" s="469"/>
      <c r="K3" s="470"/>
    </row>
    <row r="4" spans="1:20" ht="20.25" customHeight="1">
      <c r="A4" s="481"/>
      <c r="B4" s="474"/>
      <c r="C4" s="475"/>
      <c r="D4" s="475"/>
      <c r="E4" s="475"/>
      <c r="F4" s="475"/>
      <c r="G4" s="475"/>
      <c r="H4" s="476"/>
      <c r="I4" s="119" t="s">
        <v>31</v>
      </c>
      <c r="J4" s="464"/>
      <c r="K4" s="465"/>
    </row>
    <row r="5" spans="1:20" ht="27" customHeight="1">
      <c r="A5" s="120" t="s">
        <v>28</v>
      </c>
      <c r="B5" s="482"/>
      <c r="C5" s="483"/>
      <c r="D5" s="483"/>
      <c r="E5" s="483"/>
      <c r="F5" s="484"/>
      <c r="G5" s="351" t="s">
        <v>1</v>
      </c>
      <c r="H5" s="381"/>
      <c r="I5" s="382"/>
      <c r="J5" s="382"/>
      <c r="K5" s="383"/>
    </row>
    <row r="6" spans="1:20" ht="27" customHeight="1" thickBot="1">
      <c r="A6" s="120" t="s">
        <v>0</v>
      </c>
      <c r="B6" s="477"/>
      <c r="C6" s="478"/>
      <c r="D6" s="478"/>
      <c r="E6" s="478"/>
      <c r="F6" s="479"/>
      <c r="G6" s="352"/>
      <c r="H6" s="384"/>
      <c r="I6" s="385"/>
      <c r="J6" s="385"/>
      <c r="K6" s="386"/>
    </row>
    <row r="7" spans="1:20" s="147" customFormat="1" ht="22.15" customHeight="1">
      <c r="A7" s="223" t="s">
        <v>2</v>
      </c>
      <c r="B7" s="387"/>
      <c r="C7" s="388"/>
      <c r="D7" s="388"/>
      <c r="E7" s="388"/>
      <c r="F7" s="389"/>
      <c r="G7" s="452" t="s">
        <v>8</v>
      </c>
      <c r="H7" s="446"/>
      <c r="I7" s="447"/>
      <c r="J7" s="447"/>
      <c r="K7" s="448"/>
      <c r="O7" s="182"/>
      <c r="P7" s="182"/>
      <c r="Q7" s="182"/>
      <c r="R7" s="182"/>
    </row>
    <row r="8" spans="1:20" s="147" customFormat="1" ht="19.5" customHeight="1">
      <c r="A8" s="224" t="s">
        <v>32</v>
      </c>
      <c r="B8" s="148"/>
      <c r="C8" s="331" t="s">
        <v>33</v>
      </c>
      <c r="D8" s="331"/>
      <c r="E8" s="462"/>
      <c r="F8" s="463"/>
      <c r="G8" s="453"/>
      <c r="H8" s="449"/>
      <c r="I8" s="450"/>
      <c r="J8" s="450"/>
      <c r="K8" s="451"/>
      <c r="O8" s="182"/>
      <c r="P8" s="182"/>
      <c r="Q8" s="182"/>
      <c r="R8" s="182"/>
    </row>
    <row r="9" spans="1:20" s="147" customFormat="1" ht="27.6" customHeight="1">
      <c r="A9" s="225" t="s">
        <v>3</v>
      </c>
      <c r="B9" s="456"/>
      <c r="C9" s="457"/>
      <c r="D9" s="457"/>
      <c r="E9" s="458"/>
      <c r="F9" s="458"/>
      <c r="G9" s="458"/>
      <c r="H9" s="458"/>
      <c r="I9" s="458"/>
      <c r="J9" s="458"/>
      <c r="K9" s="459"/>
      <c r="O9" s="182"/>
      <c r="P9" s="182"/>
      <c r="Q9" s="182"/>
      <c r="R9" s="182"/>
    </row>
    <row r="10" spans="1:20" ht="20.25" customHeight="1">
      <c r="A10" s="358" t="s">
        <v>7</v>
      </c>
      <c r="B10" s="121" t="s">
        <v>140</v>
      </c>
      <c r="C10" s="354"/>
      <c r="D10" s="355"/>
      <c r="E10" s="122" t="s">
        <v>37</v>
      </c>
      <c r="F10" s="268"/>
      <c r="G10" s="122" t="s">
        <v>4</v>
      </c>
      <c r="H10" s="268"/>
      <c r="I10" s="122" t="s">
        <v>5</v>
      </c>
      <c r="J10" s="123" t="s">
        <v>38</v>
      </c>
      <c r="K10" s="269"/>
      <c r="M10" s="181" t="s">
        <v>166</v>
      </c>
    </row>
    <row r="11" spans="1:20" ht="21" customHeight="1">
      <c r="A11" s="359"/>
      <c r="B11" s="119" t="s">
        <v>6</v>
      </c>
      <c r="C11" s="354"/>
      <c r="D11" s="355"/>
      <c r="E11" s="460"/>
      <c r="F11" s="461"/>
      <c r="G11" s="343" t="s">
        <v>244</v>
      </c>
      <c r="H11" s="344"/>
      <c r="I11" s="345"/>
      <c r="J11" s="311" t="s">
        <v>298</v>
      </c>
      <c r="K11" s="312"/>
      <c r="M11" s="4" t="s">
        <v>171</v>
      </c>
      <c r="N11" s="4" t="s">
        <v>172</v>
      </c>
      <c r="O11" s="181" t="s">
        <v>173</v>
      </c>
      <c r="P11" s="181" t="s">
        <v>174</v>
      </c>
    </row>
    <row r="12" spans="1:20" ht="26.25" customHeight="1">
      <c r="A12" s="359"/>
      <c r="B12" s="214" t="str">
        <f>IF(B3="ラックコンベア洗浄機","洗浄ラック　   　　　選択してください","")</f>
        <v/>
      </c>
      <c r="C12" s="315" t="s">
        <v>238</v>
      </c>
      <c r="D12" s="315"/>
      <c r="E12" s="316"/>
      <c r="F12" s="333" t="str">
        <f>IF(B3="フラットコンベア洗浄機","有効コンベア幅 (mm)",IF(B3="フライトコンベア洗浄機","有効コンベア幅 (mm)",IF(C12="専用食器籠","専用食器籠の進行方向の長さ(mm)","")))</f>
        <v/>
      </c>
      <c r="G12" s="334"/>
      <c r="H12" s="163"/>
      <c r="I12" s="325" t="str">
        <f>IF(B3="フライトコンベア洗浄機","立爪の間隔　　　　　 (mm)",IF(C12="専用食器籠","専用食器籠の試験食器の収納数(枚)",""))</f>
        <v/>
      </c>
      <c r="J12" s="326"/>
      <c r="K12" s="164"/>
      <c r="N12" s="181" t="s">
        <v>169</v>
      </c>
    </row>
    <row r="13" spans="1:20" ht="21" customHeight="1">
      <c r="A13" s="359"/>
      <c r="B13" s="125" t="s">
        <v>76</v>
      </c>
      <c r="C13" s="356"/>
      <c r="D13" s="357"/>
      <c r="E13" s="402" t="s">
        <v>22</v>
      </c>
      <c r="F13" s="402"/>
      <c r="G13" s="343" t="s">
        <v>222</v>
      </c>
      <c r="H13" s="344"/>
      <c r="I13" s="345"/>
      <c r="J13" s="149"/>
      <c r="K13" s="124" t="s">
        <v>23</v>
      </c>
      <c r="N13" s="181" t="s">
        <v>170</v>
      </c>
    </row>
    <row r="14" spans="1:20" ht="21" customHeight="1">
      <c r="A14" s="359"/>
      <c r="B14" s="119" t="s">
        <v>167</v>
      </c>
      <c r="C14" s="311" t="s">
        <v>298</v>
      </c>
      <c r="D14" s="332"/>
      <c r="E14" s="375" t="s">
        <v>139</v>
      </c>
      <c r="F14" s="376"/>
      <c r="G14" s="243" t="s">
        <v>298</v>
      </c>
      <c r="H14" s="329" t="s">
        <v>175</v>
      </c>
      <c r="I14" s="330"/>
      <c r="J14" s="454" t="s">
        <v>298</v>
      </c>
      <c r="K14" s="455"/>
    </row>
    <row r="15" spans="1:20" ht="18" customHeight="1">
      <c r="A15" s="359"/>
      <c r="B15" s="379" t="s">
        <v>138</v>
      </c>
      <c r="C15" s="327" t="str">
        <f>IF(C14="選択してください","",IF(C14="1タンク式","洗浄タンク",IF(C14="2タンク式","洗浄タンク",IF(C14="3タンク式","予備洗浄タンク"))))</f>
        <v/>
      </c>
      <c r="D15" s="328"/>
      <c r="E15" s="328"/>
      <c r="F15" s="165"/>
      <c r="G15" s="126" t="str">
        <f>IF(C15="","","(ℓ)")</f>
        <v/>
      </c>
      <c r="H15" s="327" t="str">
        <f>IF(C14="選択してください","",IF(C14="1タンク式","",IF(C14="2タンク式","",IF(C14="3タンク式","循環すすぎタンク"))))</f>
        <v/>
      </c>
      <c r="I15" s="328"/>
      <c r="J15" s="165"/>
      <c r="K15" s="127" t="str">
        <f>IF(H15="","","(ℓ)")</f>
        <v/>
      </c>
    </row>
    <row r="16" spans="1:20" ht="18" customHeight="1" thickBot="1">
      <c r="A16" s="360"/>
      <c r="B16" s="380"/>
      <c r="C16" s="346" t="str">
        <f>IF(C14="選択してください","",IF(C14="1タンク式","",IF(C14="2タンク式","循環すすぎタンク",IF(C14="3タンク式","洗浄タンク"))))</f>
        <v/>
      </c>
      <c r="D16" s="347"/>
      <c r="E16" s="347"/>
      <c r="F16" s="166"/>
      <c r="G16" s="128" t="str">
        <f>IF(C16="","","(ℓ)")</f>
        <v/>
      </c>
      <c r="H16" s="346" t="str">
        <f>IF(G14="有","仕上げすすぎタンク","")</f>
        <v/>
      </c>
      <c r="I16" s="347"/>
      <c r="J16" s="166"/>
      <c r="K16" s="129" t="str">
        <f>IF(H16="","","(ℓ)")</f>
        <v/>
      </c>
      <c r="T16" s="35"/>
    </row>
    <row r="17" spans="1:18" ht="6" customHeight="1" thickBot="1">
      <c r="A17" s="418"/>
      <c r="B17" s="418"/>
      <c r="C17" s="418"/>
      <c r="D17" s="418"/>
      <c r="E17" s="418"/>
      <c r="F17" s="418"/>
      <c r="G17" s="418"/>
      <c r="H17" s="418"/>
      <c r="I17" s="418"/>
      <c r="J17" s="418"/>
      <c r="K17" s="418"/>
    </row>
    <row r="18" spans="1:18" ht="11.25" customHeight="1">
      <c r="A18" s="390" t="s">
        <v>272</v>
      </c>
      <c r="B18" s="369" t="s">
        <v>191</v>
      </c>
      <c r="C18" s="370"/>
      <c r="D18" s="370"/>
      <c r="E18" s="370"/>
      <c r="F18" s="341"/>
      <c r="G18" s="349" t="s">
        <v>160</v>
      </c>
      <c r="H18" s="323" t="str">
        <f>IF(AND('1.定格消費電力'!H41&lt;&gt;"",'1.定格消費電力'!H26="",'1.定格消費電力'!H33="",'1.定格消費電力'!H41&lt;='1.定格消費電力'!E42,'1.定格消費電力'!H41&gt;='1.定格消費電力'!F42,'1.定格消費電力'!H39&lt;&gt;""),'1.定格消費電力'!H39,IF(OR('1.定格消費電力'!H26&lt;&gt;"",'1.定格消費電力'!H33&lt;&gt;""),"-",""))</f>
        <v/>
      </c>
      <c r="I18" s="361" t="s">
        <v>151</v>
      </c>
      <c r="J18" s="321" t="str">
        <f>IF(AND(H18&lt;&gt;"",H18&lt;&gt;"-"),"消費電力の許容差","")</f>
        <v/>
      </c>
      <c r="K18" s="322"/>
    </row>
    <row r="19" spans="1:18" ht="11.25" customHeight="1">
      <c r="A19" s="391"/>
      <c r="B19" s="371"/>
      <c r="C19" s="372"/>
      <c r="D19" s="372"/>
      <c r="E19" s="372"/>
      <c r="F19" s="342"/>
      <c r="G19" s="350"/>
      <c r="H19" s="324"/>
      <c r="I19" s="353"/>
      <c r="J19" s="215" t="str">
        <f>IF(AND(H18&lt;&gt;"",H18&lt;&gt;"-"),+'1.定格消費電力'!E42,"")</f>
        <v/>
      </c>
      <c r="K19" s="216" t="str">
        <f>IF(AND(H18&lt;&gt;"",H18&lt;&gt;"-"),+'1.定格消費電力'!F42,"")</f>
        <v/>
      </c>
    </row>
    <row r="20" spans="1:18" ht="9" customHeight="1">
      <c r="A20" s="391"/>
      <c r="B20" s="371"/>
      <c r="C20" s="372"/>
      <c r="D20" s="372"/>
      <c r="E20" s="372"/>
      <c r="F20" s="335" t="s">
        <v>190</v>
      </c>
      <c r="G20" s="336"/>
      <c r="H20" s="313" t="str">
        <f>IF(AND('1.定格消費電力'!H26&lt;='1.定格消費電力'!E27,'1.定格消費電力'!H26&gt;='1.定格消費電力'!F27),'1.定格消費電力'!H22,IF(AND(H18&lt;&gt;"",H18&lt;&gt;"-"),"-",""))</f>
        <v/>
      </c>
      <c r="I20" s="351" t="str">
        <f>IF(AND(H20&lt;&gt;"",H20&lt;&gt;"-"),"(kW）","")</f>
        <v/>
      </c>
      <c r="J20" s="317" t="str">
        <f>IF(AND(H20&lt;&gt;"",H20&lt;&gt;"-"),"消費電力の許容差","")</f>
        <v/>
      </c>
      <c r="K20" s="318"/>
    </row>
    <row r="21" spans="1:18" ht="9" customHeight="1">
      <c r="A21" s="391"/>
      <c r="B21" s="371"/>
      <c r="C21" s="372"/>
      <c r="D21" s="372"/>
      <c r="E21" s="372"/>
      <c r="F21" s="337"/>
      <c r="G21" s="338"/>
      <c r="H21" s="348"/>
      <c r="I21" s="352"/>
      <c r="J21" s="217" t="str">
        <f>IF(AND(H20&lt;&gt;"",H20&lt;&gt;"-"),'1.定格消費電力'!E27,"")</f>
        <v/>
      </c>
      <c r="K21" s="218" t="str">
        <f>IF(AND(H20&lt;&gt;"",H20&lt;&gt;"-"),'1.定格消費電力'!F27,"")</f>
        <v/>
      </c>
      <c r="O21" s="4"/>
      <c r="P21" s="4"/>
      <c r="Q21" s="4"/>
      <c r="R21" s="4"/>
    </row>
    <row r="22" spans="1:18" ht="9" customHeight="1">
      <c r="A22" s="391"/>
      <c r="B22" s="371"/>
      <c r="C22" s="372"/>
      <c r="D22" s="372"/>
      <c r="E22" s="372"/>
      <c r="F22" s="339"/>
      <c r="G22" s="340"/>
      <c r="H22" s="314"/>
      <c r="I22" s="353"/>
      <c r="J22" s="319" t="str">
        <f>IF(AND(H20&lt;&gt;"",H20&lt;&gt;"-"),'1.定格消費電力'!H24&amp;"Hz時","")</f>
        <v/>
      </c>
      <c r="K22" s="320"/>
      <c r="O22" s="4"/>
      <c r="P22" s="4"/>
      <c r="Q22" s="4"/>
      <c r="R22" s="4"/>
    </row>
    <row r="23" spans="1:18" ht="11.25" customHeight="1">
      <c r="A23" s="391"/>
      <c r="B23" s="371"/>
      <c r="C23" s="372"/>
      <c r="D23" s="372"/>
      <c r="E23" s="372"/>
      <c r="F23" s="335" t="s">
        <v>189</v>
      </c>
      <c r="G23" s="336"/>
      <c r="H23" s="313" t="str">
        <f>IF(AND('1.定格消費電力'!H33&lt;='1.定格消費電力'!E34,'1.定格消費電力'!H33&gt;='1.定格消費電力'!F34),'1.定格消費電力'!H31,IF(AND(H18&lt;&gt;"",H18&lt;&gt;"-"),"-",""))</f>
        <v/>
      </c>
      <c r="I23" s="351" t="str">
        <f>IF(AND(H23&lt;&gt;"",H23&lt;&gt;"-"),"(kW）","")</f>
        <v/>
      </c>
      <c r="J23" s="432" t="str">
        <f>IF(AND(H23&lt;&gt;"",H23&lt;&gt;"-"),"消費電力の許容差","")</f>
        <v/>
      </c>
      <c r="K23" s="433"/>
      <c r="O23" s="4"/>
      <c r="P23" s="4"/>
      <c r="Q23" s="4"/>
      <c r="R23" s="4"/>
    </row>
    <row r="24" spans="1:18" ht="11.25" customHeight="1">
      <c r="A24" s="391"/>
      <c r="B24" s="373"/>
      <c r="C24" s="374"/>
      <c r="D24" s="374"/>
      <c r="E24" s="374"/>
      <c r="F24" s="339"/>
      <c r="G24" s="340"/>
      <c r="H24" s="314"/>
      <c r="I24" s="353"/>
      <c r="J24" s="215" t="str">
        <f>IF(AND(H23&lt;&gt;"",H23&lt;&gt;"-"),'1.定格消費電力'!E34,"")</f>
        <v/>
      </c>
      <c r="K24" s="216" t="str">
        <f>IF(AND(H23&lt;&gt;"",H23&lt;&gt;"-"),'1.定格消費電力'!F34,"")</f>
        <v/>
      </c>
      <c r="O24" s="4"/>
      <c r="P24" s="4"/>
      <c r="Q24" s="4"/>
      <c r="R24" s="4"/>
    </row>
    <row r="25" spans="1:18" ht="13.5" customHeight="1">
      <c r="A25" s="391"/>
      <c r="B25" s="373" t="s">
        <v>152</v>
      </c>
      <c r="C25" s="377"/>
      <c r="D25" s="377"/>
      <c r="E25" s="377"/>
      <c r="F25" s="378"/>
      <c r="G25" s="206" t="s">
        <v>122</v>
      </c>
      <c r="H25" s="207"/>
      <c r="I25" s="207"/>
      <c r="J25" s="207"/>
      <c r="K25" s="208"/>
      <c r="O25" s="4"/>
      <c r="P25" s="4"/>
      <c r="Q25" s="4"/>
      <c r="R25" s="4"/>
    </row>
    <row r="26" spans="1:18" s="134" customFormat="1" ht="26.25" customHeight="1">
      <c r="A26" s="391"/>
      <c r="B26" s="403" t="s">
        <v>153</v>
      </c>
      <c r="C26" s="377"/>
      <c r="D26" s="377"/>
      <c r="E26" s="377"/>
      <c r="F26" s="378"/>
      <c r="G26" s="130" t="s">
        <v>245</v>
      </c>
      <c r="H26" s="131" t="str">
        <f>IF('3.立上り性能'!I46="","",'3.立上り性能'!I46)</f>
        <v>－</v>
      </c>
      <c r="I26" s="245" t="s">
        <v>52</v>
      </c>
      <c r="J26" s="132"/>
      <c r="K26" s="133"/>
    </row>
    <row r="27" spans="1:18" s="134" customFormat="1" ht="26.25" customHeight="1">
      <c r="A27" s="391"/>
      <c r="B27" s="362" t="s">
        <v>154</v>
      </c>
      <c r="C27" s="363"/>
      <c r="D27" s="363"/>
      <c r="E27" s="363"/>
      <c r="F27" s="364"/>
      <c r="G27" s="135" t="s">
        <v>246</v>
      </c>
      <c r="H27" s="136" t="str">
        <f>IF(B3="フラットコンベア洗浄機",+'4.処理能力'!D36,IF(B3="フライトコンベア洗浄機",+'4.処理能力'!K36,IF(B3="ラックコンベア洗浄機",+'4.処理能力'!D50,IF(C12="ﾗｯｸｺﾝﾍﾞｱ洗浄機（専用食器籠）",+'4.処理能力'!D50,""))))</f>
        <v/>
      </c>
      <c r="I27" s="244" t="s">
        <v>85</v>
      </c>
      <c r="J27" s="189" t="str">
        <f>IF(C12&lt;&gt;"選択してください",IF(C12="ラックコンベア型(専用食器籠)","メラミン","陶磁器製"),"")</f>
        <v>陶磁器製</v>
      </c>
      <c r="K27" s="137" t="str">
        <f>IF(B3="フラットコンベア洗浄機","φ180の浅皿",IF(B3="フライトコンベア洗浄機","φ230の洋皿",IF(C12="専用食器籠","φ230の洋皿",IF(C12="500mm×500mm","φ180の浅皿",""))))</f>
        <v/>
      </c>
      <c r="L27" s="24"/>
    </row>
    <row r="28" spans="1:18" s="134" customFormat="1" ht="26.25" customHeight="1">
      <c r="A28" s="391"/>
      <c r="B28" s="413" t="s">
        <v>155</v>
      </c>
      <c r="C28" s="365" t="s">
        <v>10</v>
      </c>
      <c r="D28" s="366"/>
      <c r="E28" s="367"/>
      <c r="F28" s="368"/>
      <c r="G28" s="138" t="s">
        <v>249</v>
      </c>
      <c r="H28" s="578" t="str">
        <f>IF('5.消費電力量'!I22="","",'5.消費電力量'!I22)</f>
        <v/>
      </c>
      <c r="I28" s="244" t="s">
        <v>98</v>
      </c>
      <c r="J28" s="422"/>
      <c r="K28" s="423"/>
    </row>
    <row r="29" spans="1:18" s="134" customFormat="1" ht="26.25" customHeight="1">
      <c r="A29" s="391"/>
      <c r="B29" s="414"/>
      <c r="C29" s="365" t="s">
        <v>44</v>
      </c>
      <c r="D29" s="366"/>
      <c r="E29" s="367"/>
      <c r="F29" s="368"/>
      <c r="G29" s="138" t="s">
        <v>250</v>
      </c>
      <c r="H29" s="578" t="str">
        <f>IF('5.消費電力量'!I38="","",'5.消費電力量'!I38)</f>
        <v/>
      </c>
      <c r="I29" s="244" t="s">
        <v>15</v>
      </c>
      <c r="J29" s="139"/>
      <c r="K29" s="140"/>
    </row>
    <row r="30" spans="1:18" s="134" customFormat="1" ht="26.25" customHeight="1">
      <c r="A30" s="391"/>
      <c r="B30" s="414"/>
      <c r="C30" s="365" t="s">
        <v>53</v>
      </c>
      <c r="D30" s="366"/>
      <c r="E30" s="367"/>
      <c r="F30" s="368"/>
      <c r="G30" s="246" t="s">
        <v>251</v>
      </c>
      <c r="H30" s="578" t="str">
        <f>IF('5.消費電力量'!I74="","",'5.消費電力量'!I74)</f>
        <v/>
      </c>
      <c r="I30" s="247" t="s">
        <v>15</v>
      </c>
      <c r="J30" s="139"/>
      <c r="K30" s="140"/>
    </row>
    <row r="31" spans="1:18" s="134" customFormat="1" ht="25.5" customHeight="1">
      <c r="A31" s="391"/>
      <c r="B31" s="414"/>
      <c r="C31" s="365" t="s">
        <v>45</v>
      </c>
      <c r="D31" s="366"/>
      <c r="E31" s="367"/>
      <c r="F31" s="368"/>
      <c r="G31" s="246" t="s">
        <v>252</v>
      </c>
      <c r="H31" s="578" t="str">
        <f>IF('5.消費電力量'!I85="","",'5.消費電力量'!I85)</f>
        <v/>
      </c>
      <c r="I31" s="247" t="s">
        <v>86</v>
      </c>
      <c r="J31" s="141"/>
      <c r="K31" s="142"/>
    </row>
    <row r="32" spans="1:18" s="134" customFormat="1" ht="9" customHeight="1">
      <c r="A32" s="391"/>
      <c r="B32" s="414"/>
      <c r="C32" s="404" t="s">
        <v>229</v>
      </c>
      <c r="D32" s="405"/>
      <c r="E32" s="405"/>
      <c r="F32" s="406"/>
      <c r="G32" s="419" t="s">
        <v>253</v>
      </c>
      <c r="H32" s="397" t="str">
        <f>IF('5.消費電力量'!I101="","",'5.消費電力量'!I101)</f>
        <v/>
      </c>
      <c r="I32" s="442" t="s">
        <v>12</v>
      </c>
      <c r="J32" s="393" t="str">
        <f>"処理時間"&amp;TEXT(M32,"0.0")&amp;"h/日"</f>
        <v>処理時間1.0h/日</v>
      </c>
      <c r="K32" s="394"/>
      <c r="M32" s="134">
        <f>+'5.消費電力量'!I96</f>
        <v>1</v>
      </c>
    </row>
    <row r="33" spans="1:18" s="134" customFormat="1" ht="9" customHeight="1">
      <c r="A33" s="391"/>
      <c r="B33" s="414"/>
      <c r="C33" s="407"/>
      <c r="D33" s="408"/>
      <c r="E33" s="408"/>
      <c r="F33" s="409"/>
      <c r="G33" s="420"/>
      <c r="H33" s="398"/>
      <c r="I33" s="443"/>
      <c r="J33" s="400" t="str">
        <f>"待機時間"&amp;TEXT(M33,"0.0")&amp;"h/日"</f>
        <v>待機時間0.5h/日</v>
      </c>
      <c r="K33" s="401"/>
      <c r="M33" s="134">
        <f>+'5.消費電力量'!I97</f>
        <v>0.5</v>
      </c>
    </row>
    <row r="34" spans="1:18" s="134" customFormat="1" ht="9" customHeight="1">
      <c r="A34" s="391"/>
      <c r="B34" s="414"/>
      <c r="C34" s="407"/>
      <c r="D34" s="408"/>
      <c r="E34" s="408"/>
      <c r="F34" s="409"/>
      <c r="G34" s="420"/>
      <c r="H34" s="398"/>
      <c r="I34" s="443"/>
      <c r="J34" s="400" t="str">
        <f>"処理負荷率 "&amp;TEXT(M34,"0.0")</f>
        <v>処理負荷率 0.8</v>
      </c>
      <c r="K34" s="401"/>
      <c r="M34" s="134">
        <f>+'5.消費電力量'!I98</f>
        <v>0.8</v>
      </c>
    </row>
    <row r="35" spans="1:18" s="134" customFormat="1" ht="9" customHeight="1">
      <c r="A35" s="391"/>
      <c r="B35" s="415"/>
      <c r="C35" s="410"/>
      <c r="D35" s="411"/>
      <c r="E35" s="411"/>
      <c r="F35" s="412"/>
      <c r="G35" s="421"/>
      <c r="H35" s="399"/>
      <c r="I35" s="444"/>
      <c r="J35" s="426" t="str">
        <f>"立上り回数 "&amp;TEXT(M35,"0")&amp;" 回/日"</f>
        <v>立上り回数 1 回/日</v>
      </c>
      <c r="K35" s="427"/>
      <c r="M35" s="134">
        <f>+'5.消費電力量'!I99</f>
        <v>1</v>
      </c>
    </row>
    <row r="36" spans="1:18" s="134" customFormat="1" ht="26.25" customHeight="1">
      <c r="A36" s="391"/>
      <c r="B36" s="416" t="s">
        <v>221</v>
      </c>
      <c r="C36" s="428" t="s">
        <v>10</v>
      </c>
      <c r="D36" s="429"/>
      <c r="E36" s="367"/>
      <c r="F36" s="368"/>
      <c r="G36" s="246" t="s">
        <v>247</v>
      </c>
      <c r="H36" s="143" t="str">
        <f>'6.給湯量'!G10</f>
        <v/>
      </c>
      <c r="I36" s="247" t="s">
        <v>13</v>
      </c>
      <c r="J36" s="395"/>
      <c r="K36" s="396"/>
    </row>
    <row r="37" spans="1:18" s="134" customFormat="1" ht="26.25" customHeight="1">
      <c r="A37" s="391"/>
      <c r="B37" s="414"/>
      <c r="C37" s="428" t="s">
        <v>84</v>
      </c>
      <c r="D37" s="429"/>
      <c r="E37" s="367"/>
      <c r="F37" s="368"/>
      <c r="G37" s="144" t="s">
        <v>248</v>
      </c>
      <c r="H37" s="145" t="str">
        <f>+'6.給湯量'!G16</f>
        <v/>
      </c>
      <c r="I37" s="146" t="s">
        <v>87</v>
      </c>
      <c r="J37" s="141"/>
      <c r="K37" s="142"/>
    </row>
    <row r="38" spans="1:18" s="134" customFormat="1" ht="13.5" customHeight="1">
      <c r="A38" s="391"/>
      <c r="B38" s="414"/>
      <c r="C38" s="428" t="s">
        <v>123</v>
      </c>
      <c r="D38" s="429"/>
      <c r="E38" s="367"/>
      <c r="F38" s="368"/>
      <c r="G38" s="206" t="s">
        <v>122</v>
      </c>
      <c r="H38" s="207"/>
      <c r="I38" s="207"/>
      <c r="J38" s="207"/>
      <c r="K38" s="208"/>
    </row>
    <row r="39" spans="1:18" s="134" customFormat="1" ht="16.5" customHeight="1">
      <c r="A39" s="391"/>
      <c r="B39" s="414"/>
      <c r="C39" s="404" t="s">
        <v>228</v>
      </c>
      <c r="D39" s="405"/>
      <c r="E39" s="405"/>
      <c r="F39" s="406"/>
      <c r="G39" s="419" t="s">
        <v>121</v>
      </c>
      <c r="H39" s="436" t="str">
        <f>+'6.給湯量'!G29</f>
        <v/>
      </c>
      <c r="I39" s="434" t="s">
        <v>19</v>
      </c>
      <c r="J39" s="430" t="str">
        <f>"処理時間 "&amp;TEXT(+'6.給湯量'!G27,"0.0")&amp;"h/日"</f>
        <v>処理時間 1.0h/日</v>
      </c>
      <c r="K39" s="431"/>
      <c r="M39" s="134">
        <f>+'6.給湯量'!G27</f>
        <v>1</v>
      </c>
    </row>
    <row r="40" spans="1:18" s="134" customFormat="1" ht="11.25" customHeight="1" thickBot="1">
      <c r="A40" s="392"/>
      <c r="B40" s="417"/>
      <c r="C40" s="439"/>
      <c r="D40" s="440"/>
      <c r="E40" s="440"/>
      <c r="F40" s="441"/>
      <c r="G40" s="438"/>
      <c r="H40" s="437"/>
      <c r="I40" s="435"/>
      <c r="J40" s="424" t="str">
        <f>"立上り回数 "&amp;TEXT(+'6.給湯量'!G26,"0")&amp;" 回/日"</f>
        <v>立上り回数 1 回/日</v>
      </c>
      <c r="K40" s="425"/>
      <c r="M40" s="134">
        <f>+'6.給湯量'!G26</f>
        <v>1</v>
      </c>
      <c r="O40" s="181"/>
      <c r="P40" s="181"/>
      <c r="Q40" s="181"/>
      <c r="R40" s="181"/>
    </row>
    <row r="41" spans="1:18" s="147" customFormat="1" ht="15" customHeight="1">
      <c r="A41" s="150"/>
      <c r="B41" s="160"/>
      <c r="C41" s="151"/>
      <c r="D41" s="151"/>
      <c r="E41" s="151"/>
      <c r="F41" s="151"/>
      <c r="G41" s="151"/>
      <c r="H41" s="151"/>
      <c r="I41" s="151"/>
      <c r="J41" s="151"/>
      <c r="K41" s="152"/>
      <c r="O41" s="182"/>
      <c r="P41" s="182"/>
      <c r="Q41" s="182"/>
      <c r="R41" s="182"/>
    </row>
    <row r="42" spans="1:18" s="147" customFormat="1" ht="15" customHeight="1">
      <c r="A42" s="153" t="s">
        <v>137</v>
      </c>
      <c r="B42" s="161"/>
      <c r="C42" s="154"/>
      <c r="D42" s="154"/>
      <c r="E42" s="154"/>
      <c r="F42" s="154"/>
      <c r="G42" s="154"/>
      <c r="H42" s="154"/>
      <c r="I42" s="154"/>
      <c r="J42" s="154"/>
      <c r="K42" s="155"/>
      <c r="O42" s="182"/>
      <c r="P42" s="182"/>
      <c r="Q42" s="182"/>
      <c r="R42" s="182"/>
    </row>
    <row r="43" spans="1:18" s="147" customFormat="1" ht="15" customHeight="1">
      <c r="A43" s="153"/>
      <c r="B43" s="161"/>
      <c r="C43" s="154"/>
      <c r="D43" s="154"/>
      <c r="E43" s="154"/>
      <c r="F43" s="154"/>
      <c r="G43" s="154"/>
      <c r="H43" s="154"/>
      <c r="I43" s="154"/>
      <c r="J43" s="154"/>
      <c r="K43" s="155"/>
      <c r="O43" s="182"/>
      <c r="P43" s="182"/>
      <c r="Q43" s="182"/>
      <c r="R43" s="182"/>
    </row>
    <row r="44" spans="1:18" s="147" customFormat="1" ht="15" customHeight="1">
      <c r="A44" s="153"/>
      <c r="B44" s="161"/>
      <c r="C44" s="154"/>
      <c r="D44" s="154"/>
      <c r="E44" s="154"/>
      <c r="F44" s="154"/>
      <c r="G44" s="154"/>
      <c r="H44" s="154"/>
      <c r="I44" s="154"/>
      <c r="J44" s="154"/>
      <c r="K44" s="155"/>
      <c r="O44" s="182"/>
      <c r="P44" s="182"/>
      <c r="Q44" s="182"/>
      <c r="R44" s="182"/>
    </row>
    <row r="45" spans="1:18" s="147" customFormat="1" ht="12.6" customHeight="1" thickBot="1">
      <c r="A45" s="156"/>
      <c r="B45" s="157"/>
      <c r="C45" s="158"/>
      <c r="D45" s="158"/>
      <c r="E45" s="158"/>
      <c r="F45" s="158"/>
      <c r="G45" s="158"/>
      <c r="H45" s="158"/>
      <c r="I45" s="158"/>
      <c r="J45" s="158"/>
      <c r="K45" s="159"/>
      <c r="O45" s="182"/>
      <c r="P45" s="182"/>
      <c r="Q45" s="182"/>
      <c r="R45" s="182"/>
    </row>
    <row r="46" spans="1:18" ht="7.15" customHeight="1"/>
  </sheetData>
  <sheetProtection password="89E8" sheet="1" scenarios="1" formatCells="0" formatRows="0" insertRows="0" deleteRows="0"/>
  <dataConsolidate/>
  <mergeCells count="81">
    <mergeCell ref="J1:K1"/>
    <mergeCell ref="H7:K8"/>
    <mergeCell ref="G7:G8"/>
    <mergeCell ref="J14:K14"/>
    <mergeCell ref="G13:I13"/>
    <mergeCell ref="B9:K9"/>
    <mergeCell ref="C11:F11"/>
    <mergeCell ref="E8:F8"/>
    <mergeCell ref="J4:K4"/>
    <mergeCell ref="A2:K2"/>
    <mergeCell ref="J3:K3"/>
    <mergeCell ref="B3:H4"/>
    <mergeCell ref="G5:G6"/>
    <mergeCell ref="B6:F6"/>
    <mergeCell ref="A3:A4"/>
    <mergeCell ref="B5:F5"/>
    <mergeCell ref="J40:K40"/>
    <mergeCell ref="J35:K35"/>
    <mergeCell ref="C37:F37"/>
    <mergeCell ref="J39:K39"/>
    <mergeCell ref="I23:I24"/>
    <mergeCell ref="J23:K23"/>
    <mergeCell ref="I39:I40"/>
    <mergeCell ref="C31:F31"/>
    <mergeCell ref="H39:H40"/>
    <mergeCell ref="C36:F36"/>
    <mergeCell ref="G39:G40"/>
    <mergeCell ref="C38:F38"/>
    <mergeCell ref="C39:F40"/>
    <mergeCell ref="I32:I35"/>
    <mergeCell ref="H5:K6"/>
    <mergeCell ref="B7:F7"/>
    <mergeCell ref="A18:A40"/>
    <mergeCell ref="J32:K32"/>
    <mergeCell ref="J36:K36"/>
    <mergeCell ref="H32:H35"/>
    <mergeCell ref="J34:K34"/>
    <mergeCell ref="E13:F13"/>
    <mergeCell ref="B26:F26"/>
    <mergeCell ref="C32:F35"/>
    <mergeCell ref="B28:B35"/>
    <mergeCell ref="B36:B40"/>
    <mergeCell ref="A17:K17"/>
    <mergeCell ref="J33:K33"/>
    <mergeCell ref="G32:G35"/>
    <mergeCell ref="J28:K28"/>
    <mergeCell ref="A10:A16"/>
    <mergeCell ref="I18:I19"/>
    <mergeCell ref="B27:F27"/>
    <mergeCell ref="C29:F29"/>
    <mergeCell ref="C30:F30"/>
    <mergeCell ref="B18:E24"/>
    <mergeCell ref="E14:F14"/>
    <mergeCell ref="B25:F25"/>
    <mergeCell ref="B15:B16"/>
    <mergeCell ref="C15:E15"/>
    <mergeCell ref="C28:F28"/>
    <mergeCell ref="C8:D8"/>
    <mergeCell ref="C14:D14"/>
    <mergeCell ref="F12:G12"/>
    <mergeCell ref="F20:G22"/>
    <mergeCell ref="F23:G24"/>
    <mergeCell ref="F18:F19"/>
    <mergeCell ref="G11:I11"/>
    <mergeCell ref="C16:E16"/>
    <mergeCell ref="H20:H22"/>
    <mergeCell ref="G18:G19"/>
    <mergeCell ref="I20:I22"/>
    <mergeCell ref="H16:I16"/>
    <mergeCell ref="C10:D10"/>
    <mergeCell ref="C13:D13"/>
    <mergeCell ref="J11:K11"/>
    <mergeCell ref="H23:H24"/>
    <mergeCell ref="C12:E12"/>
    <mergeCell ref="J20:K20"/>
    <mergeCell ref="J22:K22"/>
    <mergeCell ref="J18:K18"/>
    <mergeCell ref="H18:H19"/>
    <mergeCell ref="I12:J12"/>
    <mergeCell ref="H15:I15"/>
    <mergeCell ref="H14:I14"/>
  </mergeCells>
  <phoneticPr fontId="3"/>
  <conditionalFormatting sqref="H12">
    <cfRule type="cellIs" dxfId="24" priority="24" stopIfTrue="1" operator="notEqual">
      <formula>$F$12&lt;&gt;""</formula>
    </cfRule>
  </conditionalFormatting>
  <conditionalFormatting sqref="K12">
    <cfRule type="cellIs" dxfId="23" priority="19" stopIfTrue="1" operator="notEqual">
      <formula>I12&lt;&gt;""</formula>
    </cfRule>
  </conditionalFormatting>
  <conditionalFormatting sqref="J15">
    <cfRule type="cellIs" dxfId="22" priority="35" stopIfTrue="1" operator="notEqual">
      <formula>$H$15&lt;&gt;""</formula>
    </cfRule>
  </conditionalFormatting>
  <conditionalFormatting sqref="F15">
    <cfRule type="cellIs" dxfId="21" priority="36" stopIfTrue="1" operator="notEqual">
      <formula>$C$15&lt;&gt;""</formula>
    </cfRule>
  </conditionalFormatting>
  <conditionalFormatting sqref="F16">
    <cfRule type="cellIs" dxfId="20" priority="16" stopIfTrue="1" operator="notEqual">
      <formula>$C$16&lt;&gt;""</formula>
    </cfRule>
  </conditionalFormatting>
  <conditionalFormatting sqref="J16">
    <cfRule type="cellIs" dxfId="19" priority="15" stopIfTrue="1" operator="notEqual">
      <formula>$H$16&lt;&gt;""</formula>
    </cfRule>
  </conditionalFormatting>
  <conditionalFormatting sqref="C12:E12">
    <cfRule type="expression" dxfId="18" priority="13" stopIfTrue="1">
      <formula>$B$12&lt;&gt;""</formula>
    </cfRule>
  </conditionalFormatting>
  <conditionalFormatting sqref="J32:K32">
    <cfRule type="expression" dxfId="17" priority="6" stopIfTrue="1">
      <formula>$M$32&lt;&gt;1</formula>
    </cfRule>
  </conditionalFormatting>
  <conditionalFormatting sqref="J33:K33">
    <cfRule type="expression" dxfId="16" priority="5" stopIfTrue="1">
      <formula>$M$33&lt;&gt;0.5</formula>
    </cfRule>
  </conditionalFormatting>
  <conditionalFormatting sqref="J34:K34">
    <cfRule type="expression" dxfId="15" priority="4" stopIfTrue="1">
      <formula>$M$34&lt;&gt;0.8</formula>
    </cfRule>
  </conditionalFormatting>
  <conditionalFormatting sqref="J35:K35">
    <cfRule type="expression" dxfId="14" priority="3" stopIfTrue="1">
      <formula>$M$35&lt;&gt;1</formula>
    </cfRule>
  </conditionalFormatting>
  <conditionalFormatting sqref="J39:K39">
    <cfRule type="expression" dxfId="13" priority="2" stopIfTrue="1">
      <formula>$M$39&lt;&gt;1</formula>
    </cfRule>
  </conditionalFormatting>
  <conditionalFormatting sqref="J40:K40">
    <cfRule type="expression" dxfId="12" priority="1" stopIfTrue="1">
      <formula>$M$40&lt;&gt;1</formula>
    </cfRule>
  </conditionalFormatting>
  <dataValidations count="7">
    <dataValidation type="list" allowBlank="1" showInputMessage="1" showErrorMessage="1" sqref="G14">
      <formula1>"選択してください,有,無"</formula1>
    </dataValidation>
    <dataValidation type="list" allowBlank="1" showInputMessage="1" showErrorMessage="1" sqref="J14:K14">
      <formula1>"選択してください,熱湯殺菌方式,冷水仕上げすすぎ方式"</formula1>
    </dataValidation>
    <dataValidation type="list" allowBlank="1" showInputMessage="1" showErrorMessage="1" sqref="B3:H4">
      <formula1>"ラックコンベア洗浄機、フライトコンベア洗浄機、フラットコンベア洗浄機(選択してください),ラックコンベア洗浄機,フライトコンベア洗浄機,フラットコンベア洗浄機"</formula1>
    </dataValidation>
    <dataValidation type="list" allowBlank="1" showInputMessage="1" showErrorMessage="1" sqref="C12:D12">
      <formula1>INDIRECT(B3)</formula1>
    </dataValidation>
    <dataValidation type="list" allowBlank="1" showInputMessage="1" showErrorMessage="1" sqref="E12">
      <formula1>INDIRECT(C3)</formula1>
    </dataValidation>
    <dataValidation type="list" allowBlank="1" showInputMessage="1" showErrorMessage="1" sqref="C14:D14">
      <formula1>"選択してください,1タンク式,2タンク式,3タンク式"</formula1>
    </dataValidation>
    <dataValidation type="list" allowBlank="1" showInputMessage="1" showErrorMessage="1" sqref="J11:K11">
      <formula1>"選択してください,給湯接続,給水接続"</formula1>
    </dataValidation>
  </dataValidations>
  <pageMargins left="0.78740157480314965" right="0.51181102362204722" top="0.59055118110236227" bottom="0.59055118110236227" header="0.19685039370078741" footer="0.19685039370078741"/>
  <pageSetup paperSize="9" orientation="portrait" horizontalDpi="300" verticalDpi="300" r:id="rId1"/>
  <headerFooter alignWithMargins="0"/>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view="pageBreakPreview" zoomScaleNormal="100" zoomScaleSheetLayoutView="100" workbookViewId="0">
      <selection activeCell="C5" sqref="C5:D5"/>
    </sheetView>
  </sheetViews>
  <sheetFormatPr defaultRowHeight="13.5"/>
  <cols>
    <col min="1" max="1" width="10.375" style="4" customWidth="1"/>
    <col min="2" max="2" width="6.125" style="4" customWidth="1"/>
    <col min="3" max="3" width="9.125" style="4" customWidth="1"/>
    <col min="4" max="4" width="10.875" style="4" customWidth="1"/>
    <col min="5" max="5" width="9.25" style="4" customWidth="1"/>
    <col min="6" max="6" width="8.875" style="4" customWidth="1"/>
    <col min="7" max="7" width="9.125" style="4" customWidth="1"/>
    <col min="8" max="8" width="8.75" style="4" customWidth="1"/>
    <col min="9" max="9" width="7.75" style="4" customWidth="1"/>
    <col min="10" max="10" width="8.5" style="4" customWidth="1"/>
    <col min="11" max="11" width="5.625" style="4" customWidth="1"/>
    <col min="12" max="16384" width="9" style="4"/>
  </cols>
  <sheetData>
    <row r="1" spans="1:10" ht="15" customHeight="1" thickBot="1"/>
    <row r="2" spans="1:10" s="5" customFormat="1" ht="19.5" customHeight="1" thickTop="1" thickBot="1">
      <c r="A2" s="488" t="str">
        <f>+表紙!A2</f>
        <v>業務用厨房熱機器等性能測定結果　【電気機器】</v>
      </c>
      <c r="B2" s="489"/>
      <c r="C2" s="489"/>
      <c r="D2" s="489"/>
      <c r="E2" s="489"/>
      <c r="F2" s="489"/>
      <c r="G2" s="489"/>
      <c r="H2" s="489"/>
      <c r="I2" s="489"/>
      <c r="J2" s="490"/>
    </row>
    <row r="3" spans="1:10" s="5" customFormat="1" ht="28.5" customHeight="1" thickTop="1">
      <c r="A3" s="6" t="s">
        <v>273</v>
      </c>
      <c r="B3" s="500" t="str">
        <f>表紙!B3&amp;"　　（１．定格消費電力）"</f>
        <v>ラックコンベア洗浄機、フライトコンベア洗浄機、フラットコンベア洗浄機(選択してください)　　（１．定格消費電力）</v>
      </c>
      <c r="C3" s="501"/>
      <c r="D3" s="501"/>
      <c r="E3" s="501"/>
      <c r="F3" s="501"/>
      <c r="G3" s="501"/>
      <c r="H3" s="501"/>
      <c r="I3" s="501"/>
      <c r="J3" s="502"/>
    </row>
    <row r="4" spans="1:10" s="5" customFormat="1" ht="20.100000000000001" customHeight="1" thickBot="1">
      <c r="A4" s="7" t="s">
        <v>0</v>
      </c>
      <c r="B4" s="491" t="str">
        <f>IF(表紙!$B$6=0,"",表紙!$B$6)</f>
        <v/>
      </c>
      <c r="C4" s="491"/>
      <c r="D4" s="492"/>
      <c r="E4" s="493"/>
      <c r="F4" s="233" t="s">
        <v>1</v>
      </c>
      <c r="G4" s="494" t="str">
        <f>IF(表紙!$H$5=0,"",表紙!$H$5)</f>
        <v/>
      </c>
      <c r="H4" s="495"/>
      <c r="I4" s="495"/>
      <c r="J4" s="496"/>
    </row>
    <row r="5" spans="1:10" s="5" customFormat="1" ht="15" customHeight="1" thickBot="1">
      <c r="A5" s="498" t="s">
        <v>35</v>
      </c>
      <c r="B5" s="499"/>
      <c r="C5" s="497"/>
      <c r="D5" s="497"/>
      <c r="E5" s="210" t="s">
        <v>156</v>
      </c>
      <c r="F5" s="289"/>
      <c r="G5" s="209" t="s">
        <v>29</v>
      </c>
      <c r="H5" s="289"/>
      <c r="I5" s="210" t="s">
        <v>157</v>
      </c>
      <c r="J5" s="290"/>
    </row>
    <row r="6" spans="1:10" s="5" customFormat="1" ht="15" customHeight="1">
      <c r="A6" s="9"/>
      <c r="B6" s="10"/>
      <c r="C6" s="10"/>
      <c r="D6" s="10"/>
      <c r="E6" s="10"/>
      <c r="F6" s="10"/>
      <c r="G6" s="10"/>
      <c r="H6" s="10"/>
      <c r="I6" s="10"/>
      <c r="J6" s="11"/>
    </row>
    <row r="7" spans="1:10" s="5" customFormat="1" ht="15" customHeight="1">
      <c r="A7" s="9"/>
      <c r="B7" s="167" t="s">
        <v>9</v>
      </c>
      <c r="C7" s="10"/>
      <c r="D7" s="10"/>
      <c r="E7" s="10"/>
      <c r="F7" s="10"/>
      <c r="G7" s="10"/>
      <c r="H7" s="10"/>
      <c r="I7" s="10"/>
      <c r="J7" s="11"/>
    </row>
    <row r="8" spans="1:10" s="5" customFormat="1" ht="15" customHeight="1">
      <c r="A8" s="9"/>
      <c r="B8" s="487" t="s">
        <v>242</v>
      </c>
      <c r="C8" s="487"/>
      <c r="D8" s="487"/>
      <c r="E8" s="487"/>
      <c r="F8" s="487"/>
      <c r="G8" s="487"/>
      <c r="H8" s="487"/>
      <c r="I8" s="487"/>
      <c r="J8" s="11"/>
    </row>
    <row r="9" spans="1:10" s="5" customFormat="1" ht="15" customHeight="1">
      <c r="A9" s="18"/>
      <c r="B9" s="487"/>
      <c r="C9" s="487"/>
      <c r="D9" s="487"/>
      <c r="E9" s="487"/>
      <c r="F9" s="487"/>
      <c r="G9" s="487"/>
      <c r="H9" s="487"/>
      <c r="I9" s="487"/>
      <c r="J9" s="11"/>
    </row>
    <row r="10" spans="1:10" s="5" customFormat="1" ht="7.5" customHeight="1">
      <c r="A10" s="9"/>
      <c r="B10" s="239"/>
      <c r="C10" s="239"/>
      <c r="D10" s="239"/>
      <c r="E10" s="239"/>
      <c r="F10" s="239"/>
      <c r="G10" s="239"/>
      <c r="H10" s="239"/>
      <c r="I10" s="239"/>
      <c r="J10" s="11"/>
    </row>
    <row r="11" spans="1:10" s="5" customFormat="1" ht="15" customHeight="1">
      <c r="A11" s="9"/>
      <c r="B11" s="240" t="s">
        <v>243</v>
      </c>
      <c r="C11" s="100"/>
      <c r="D11" s="100"/>
      <c r="E11" s="100"/>
      <c r="F11" s="100"/>
      <c r="G11" s="100"/>
      <c r="H11" s="100"/>
      <c r="I11" s="100"/>
      <c r="J11" s="11"/>
    </row>
    <row r="12" spans="1:10" s="5" customFormat="1" ht="15" customHeight="1">
      <c r="A12" s="9"/>
      <c r="B12" s="486" t="s">
        <v>282</v>
      </c>
      <c r="C12" s="486"/>
      <c r="D12" s="486"/>
      <c r="E12" s="486"/>
      <c r="F12" s="486"/>
      <c r="G12" s="486"/>
      <c r="H12" s="486"/>
      <c r="I12" s="486"/>
      <c r="J12" s="11"/>
    </row>
    <row r="13" spans="1:10" s="5" customFormat="1" ht="15" customHeight="1">
      <c r="A13" s="9"/>
      <c r="B13" s="486"/>
      <c r="C13" s="486"/>
      <c r="D13" s="486"/>
      <c r="E13" s="486"/>
      <c r="F13" s="486"/>
      <c r="G13" s="486"/>
      <c r="H13" s="486"/>
      <c r="I13" s="486"/>
      <c r="J13" s="11"/>
    </row>
    <row r="14" spans="1:10" s="5" customFormat="1" ht="15" customHeight="1">
      <c r="A14" s="9"/>
      <c r="B14" s="486"/>
      <c r="C14" s="486"/>
      <c r="D14" s="486"/>
      <c r="E14" s="486"/>
      <c r="F14" s="486"/>
      <c r="G14" s="486"/>
      <c r="H14" s="486"/>
      <c r="I14" s="486"/>
      <c r="J14" s="11"/>
    </row>
    <row r="15" spans="1:10" s="5" customFormat="1" ht="17.25" customHeight="1">
      <c r="A15" s="9"/>
      <c r="B15" s="486"/>
      <c r="C15" s="486"/>
      <c r="D15" s="486"/>
      <c r="E15" s="486"/>
      <c r="F15" s="486"/>
      <c r="G15" s="486"/>
      <c r="H15" s="486"/>
      <c r="I15" s="486"/>
      <c r="J15" s="11"/>
    </row>
    <row r="16" spans="1:10" s="5" customFormat="1" ht="15" customHeight="1">
      <c r="A16" s="9"/>
      <c r="B16" s="486"/>
      <c r="C16" s="486"/>
      <c r="D16" s="486"/>
      <c r="E16" s="486"/>
      <c r="F16" s="486"/>
      <c r="G16" s="486"/>
      <c r="H16" s="486"/>
      <c r="I16" s="486"/>
      <c r="J16" s="11"/>
    </row>
    <row r="17" spans="1:10" s="5" customFormat="1" ht="21.75" customHeight="1">
      <c r="A17" s="9"/>
      <c r="B17" s="486"/>
      <c r="C17" s="486"/>
      <c r="D17" s="486"/>
      <c r="E17" s="486"/>
      <c r="F17" s="486"/>
      <c r="G17" s="486"/>
      <c r="H17" s="486"/>
      <c r="I17" s="486"/>
      <c r="J17" s="11"/>
    </row>
    <row r="18" spans="1:10" s="5" customFormat="1" ht="6.75" customHeight="1">
      <c r="A18" s="179"/>
      <c r="B18" s="187"/>
      <c r="C18" s="187"/>
      <c r="D18" s="187"/>
      <c r="E18" s="10"/>
      <c r="F18" s="10"/>
      <c r="G18" s="10"/>
      <c r="H18" s="10"/>
      <c r="I18" s="10"/>
      <c r="J18" s="11"/>
    </row>
    <row r="19" spans="1:10" s="5" customFormat="1" ht="17.25" customHeight="1">
      <c r="A19" s="9"/>
      <c r="B19" s="170"/>
      <c r="C19" s="170"/>
      <c r="D19" s="170"/>
      <c r="E19" s="171"/>
      <c r="F19" s="169"/>
      <c r="G19" s="172"/>
      <c r="H19" s="10"/>
      <c r="I19" s="10"/>
      <c r="J19" s="11"/>
    </row>
    <row r="20" spans="1:10" ht="16.5" customHeight="1">
      <c r="A20" s="175"/>
      <c r="B20" s="20"/>
      <c r="C20" s="10"/>
      <c r="D20" s="10"/>
      <c r="E20" s="10"/>
      <c r="F20" s="35"/>
      <c r="G20" s="36" t="s">
        <v>176</v>
      </c>
      <c r="H20" s="291"/>
      <c r="I20" s="256" t="s">
        <v>177</v>
      </c>
      <c r="J20" s="177" t="s">
        <v>41</v>
      </c>
    </row>
    <row r="21" spans="1:10" ht="3.75" customHeight="1">
      <c r="A21" s="175"/>
      <c r="B21" s="13"/>
      <c r="C21" s="10"/>
      <c r="D21" s="10"/>
      <c r="E21" s="10"/>
      <c r="F21" s="35"/>
      <c r="G21" s="100"/>
      <c r="H21" s="173"/>
      <c r="I21" s="259"/>
      <c r="J21" s="177"/>
    </row>
    <row r="22" spans="1:10" ht="26.25" customHeight="1">
      <c r="A22" s="175"/>
      <c r="B22" s="10"/>
      <c r="C22" s="10"/>
      <c r="D22" s="10"/>
      <c r="E22" s="80"/>
      <c r="F22" s="35"/>
      <c r="G22" s="36" t="s">
        <v>178</v>
      </c>
      <c r="H22" s="292"/>
      <c r="I22" s="256" t="s">
        <v>177</v>
      </c>
      <c r="J22" s="177" t="s">
        <v>41</v>
      </c>
    </row>
    <row r="23" spans="1:10" ht="3" customHeight="1">
      <c r="A23" s="175"/>
      <c r="B23" s="10"/>
      <c r="C23" s="10"/>
      <c r="D23" s="10"/>
      <c r="E23" s="80"/>
      <c r="F23" s="35"/>
      <c r="G23" s="86"/>
      <c r="H23" s="219"/>
      <c r="I23" s="256"/>
      <c r="J23" s="177"/>
    </row>
    <row r="24" spans="1:10" ht="16.5" customHeight="1">
      <c r="A24" s="175"/>
      <c r="B24" s="35"/>
      <c r="C24" s="10"/>
      <c r="D24" s="10"/>
      <c r="E24" s="80"/>
      <c r="F24" s="35"/>
      <c r="G24" s="36" t="s">
        <v>179</v>
      </c>
      <c r="H24" s="293"/>
      <c r="I24" s="256" t="s">
        <v>180</v>
      </c>
      <c r="J24" s="177" t="s">
        <v>81</v>
      </c>
    </row>
    <row r="25" spans="1:10" ht="3.75" customHeight="1" thickBot="1">
      <c r="A25" s="175"/>
      <c r="B25" s="12"/>
      <c r="C25" s="35"/>
      <c r="D25" s="12"/>
      <c r="E25" s="35"/>
      <c r="F25" s="35"/>
      <c r="G25" s="36"/>
      <c r="H25" s="176"/>
      <c r="I25" s="12"/>
      <c r="J25" s="177"/>
    </row>
    <row r="26" spans="1:10" ht="14.25" customHeight="1" thickBot="1">
      <c r="A26" s="175"/>
      <c r="C26" s="222" t="s">
        <v>192</v>
      </c>
      <c r="D26" s="73"/>
      <c r="E26" s="73"/>
      <c r="F26" s="35"/>
      <c r="G26" s="86" t="s">
        <v>181</v>
      </c>
      <c r="H26" s="180" t="str">
        <f>IF(OR(H22="",H20=""),"",(H20/H22)*100-100)</f>
        <v/>
      </c>
      <c r="I26" s="267" t="s">
        <v>182</v>
      </c>
      <c r="J26" s="177"/>
    </row>
    <row r="27" spans="1:10" ht="14.25" customHeight="1">
      <c r="A27" s="175"/>
      <c r="B27" s="73"/>
      <c r="C27" s="485" t="s">
        <v>161</v>
      </c>
      <c r="D27" s="485"/>
      <c r="E27" s="168">
        <f>IF(AND(H22&gt;0.1,H22&lt;=1),15,IF(H22&gt;1,10,20))</f>
        <v>20</v>
      </c>
      <c r="F27" s="168">
        <f>IF(AND(H22&gt;0.1,H22&lt;=1),-15,IF(H22&gt;1,-10,-20))</f>
        <v>-20</v>
      </c>
      <c r="G27" s="86"/>
      <c r="H27" s="188"/>
      <c r="I27" s="188"/>
      <c r="J27" s="177"/>
    </row>
    <row r="28" spans="1:10" ht="17.25" customHeight="1">
      <c r="A28" s="175"/>
      <c r="B28" s="248"/>
      <c r="C28" s="248"/>
      <c r="D28" s="168"/>
      <c r="E28" s="169"/>
      <c r="F28" s="35"/>
      <c r="G28" s="36"/>
      <c r="H28" s="178"/>
      <c r="I28" s="178"/>
      <c r="J28" s="177"/>
    </row>
    <row r="29" spans="1:10" ht="16.5" customHeight="1">
      <c r="A29" s="175"/>
      <c r="B29" s="20"/>
      <c r="C29" s="10"/>
      <c r="D29" s="10"/>
      <c r="E29" s="10"/>
      <c r="F29" s="35"/>
      <c r="G29" s="36" t="s">
        <v>183</v>
      </c>
      <c r="H29" s="291"/>
      <c r="I29" s="256" t="s">
        <v>177</v>
      </c>
      <c r="J29" s="177" t="s">
        <v>41</v>
      </c>
    </row>
    <row r="30" spans="1:10" ht="3.75" customHeight="1">
      <c r="A30" s="175"/>
      <c r="B30" s="13"/>
      <c r="C30" s="10"/>
      <c r="D30" s="10"/>
      <c r="E30" s="10"/>
      <c r="F30" s="35"/>
      <c r="G30" s="100"/>
      <c r="H30" s="173"/>
      <c r="I30" s="259"/>
      <c r="J30" s="177"/>
    </row>
    <row r="31" spans="1:10" ht="26.25" customHeight="1">
      <c r="A31" s="175"/>
      <c r="B31" s="10"/>
      <c r="C31" s="10"/>
      <c r="D31" s="10"/>
      <c r="E31" s="80"/>
      <c r="F31" s="35"/>
      <c r="G31" s="36" t="s">
        <v>184</v>
      </c>
      <c r="H31" s="292"/>
      <c r="I31" s="256" t="s">
        <v>177</v>
      </c>
      <c r="J31" s="177" t="s">
        <v>41</v>
      </c>
    </row>
    <row r="32" spans="1:10" ht="3" customHeight="1" thickBot="1">
      <c r="A32" s="175"/>
      <c r="B32" s="10"/>
      <c r="C32" s="10"/>
      <c r="D32" s="10"/>
      <c r="E32" s="80"/>
      <c r="F32" s="35"/>
      <c r="G32" s="86"/>
      <c r="H32" s="219"/>
      <c r="I32" s="256"/>
      <c r="J32" s="177"/>
    </row>
    <row r="33" spans="1:13" ht="14.25" customHeight="1" thickBot="1">
      <c r="A33" s="175"/>
      <c r="C33" s="222" t="s">
        <v>193</v>
      </c>
      <c r="D33" s="73"/>
      <c r="E33" s="73"/>
      <c r="F33" s="35"/>
      <c r="G33" s="86" t="s">
        <v>181</v>
      </c>
      <c r="H33" s="180" t="str">
        <f>IF(OR(H31="",H29=""),"",(H29/H31)*100-100)</f>
        <v/>
      </c>
      <c r="I33" s="267" t="s">
        <v>182</v>
      </c>
      <c r="J33" s="177"/>
    </row>
    <row r="34" spans="1:13" ht="14.25" customHeight="1">
      <c r="A34" s="175"/>
      <c r="B34" s="73"/>
      <c r="C34" s="485" t="s">
        <v>161</v>
      </c>
      <c r="D34" s="485"/>
      <c r="E34" s="168">
        <f>IF(AND(H31&gt;0.1,H31&lt;=1),10,IF(H31&gt;1,5,15))</f>
        <v>15</v>
      </c>
      <c r="F34" s="168">
        <f>IF(AND(H31&gt;0.1,H31&lt;=1),-10,IF(H31&gt;1,-10,-15))</f>
        <v>-15</v>
      </c>
      <c r="G34" s="86"/>
      <c r="H34" s="188"/>
      <c r="I34" s="188"/>
      <c r="J34" s="177"/>
    </row>
    <row r="35" spans="1:13" ht="16.5" customHeight="1">
      <c r="A35" s="175"/>
      <c r="B35" s="35"/>
      <c r="C35" s="35"/>
      <c r="D35" s="35"/>
      <c r="E35" s="35"/>
      <c r="F35" s="35"/>
      <c r="G35" s="36"/>
      <c r="H35" s="178"/>
      <c r="I35" s="178"/>
      <c r="J35" s="177"/>
    </row>
    <row r="36" spans="1:13" ht="19.5" customHeight="1">
      <c r="A36" s="220" t="s">
        <v>185</v>
      </c>
      <c r="B36" s="35"/>
      <c r="C36" s="248"/>
      <c r="D36" s="168"/>
      <c r="E36" s="169"/>
      <c r="F36" s="35"/>
      <c r="G36" s="36"/>
      <c r="H36" s="178"/>
      <c r="I36" s="178"/>
      <c r="J36" s="177"/>
    </row>
    <row r="37" spans="1:13" s="5" customFormat="1" ht="17.25" customHeight="1">
      <c r="A37" s="9"/>
      <c r="C37" s="20" t="s">
        <v>241</v>
      </c>
      <c r="D37" s="10"/>
      <c r="E37" s="10"/>
      <c r="F37" s="10"/>
      <c r="G37" s="86" t="s">
        <v>186</v>
      </c>
      <c r="H37" s="291"/>
      <c r="I37" s="256" t="s">
        <v>177</v>
      </c>
      <c r="J37" s="221" t="s">
        <v>41</v>
      </c>
      <c r="M37" s="10"/>
    </row>
    <row r="38" spans="1:13" s="5" customFormat="1" ht="3.75" customHeight="1">
      <c r="A38" s="9"/>
      <c r="C38" s="13"/>
      <c r="D38" s="10"/>
      <c r="E38" s="10"/>
      <c r="F38" s="10"/>
      <c r="G38" s="100"/>
      <c r="H38" s="173"/>
      <c r="I38" s="259"/>
      <c r="J38" s="27"/>
      <c r="M38" s="174"/>
    </row>
    <row r="39" spans="1:13" s="5" customFormat="1" ht="26.25" customHeight="1">
      <c r="A39" s="9"/>
      <c r="C39" s="10" t="s">
        <v>187</v>
      </c>
      <c r="D39" s="10"/>
      <c r="E39" s="80"/>
      <c r="F39" s="10"/>
      <c r="G39" s="86" t="s">
        <v>188</v>
      </c>
      <c r="H39" s="294"/>
      <c r="I39" s="256" t="s">
        <v>177</v>
      </c>
      <c r="J39" s="221" t="s">
        <v>41</v>
      </c>
    </row>
    <row r="40" spans="1:13" ht="3.75" customHeight="1" thickBot="1">
      <c r="A40" s="175"/>
      <c r="C40" s="12"/>
      <c r="D40" s="12"/>
      <c r="E40" s="35"/>
      <c r="F40" s="35"/>
      <c r="G40" s="36"/>
      <c r="H40" s="176"/>
      <c r="I40" s="12"/>
      <c r="J40" s="84"/>
    </row>
    <row r="41" spans="1:13" ht="16.5" customHeight="1" thickBot="1">
      <c r="A41" s="175"/>
      <c r="C41" s="222" t="s">
        <v>193</v>
      </c>
      <c r="D41" s="73"/>
      <c r="E41" s="73"/>
      <c r="F41" s="35"/>
      <c r="G41" s="86" t="s">
        <v>181</v>
      </c>
      <c r="H41" s="180" t="str">
        <f>IF(OR(H39="",H37=""),"",(H37/H39)*100-100)</f>
        <v/>
      </c>
      <c r="I41" s="267" t="s">
        <v>182</v>
      </c>
      <c r="J41" s="177"/>
    </row>
    <row r="42" spans="1:13" ht="15" customHeight="1">
      <c r="A42" s="175"/>
      <c r="B42" s="73"/>
      <c r="C42" s="485" t="s">
        <v>161</v>
      </c>
      <c r="D42" s="485"/>
      <c r="E42" s="168">
        <v>5</v>
      </c>
      <c r="F42" s="169">
        <v>-10</v>
      </c>
      <c r="G42" s="188"/>
      <c r="H42" s="188"/>
      <c r="I42" s="267"/>
      <c r="J42" s="177"/>
    </row>
    <row r="43" spans="1:13" ht="11.25" customHeight="1">
      <c r="A43" s="175"/>
      <c r="B43" s="35"/>
      <c r="C43" s="35"/>
      <c r="D43" s="35"/>
      <c r="E43" s="35"/>
      <c r="F43" s="36"/>
      <c r="G43" s="178"/>
      <c r="H43" s="178"/>
      <c r="I43" s="267"/>
      <c r="J43" s="177"/>
    </row>
    <row r="44" spans="1:13" ht="15" customHeight="1">
      <c r="A44" s="175"/>
      <c r="B44" s="267" t="s">
        <v>158</v>
      </c>
      <c r="C44" s="12"/>
      <c r="D44" s="12"/>
      <c r="E44" s="12"/>
      <c r="F44" s="267" t="s">
        <v>159</v>
      </c>
      <c r="G44" s="12"/>
      <c r="H44" s="12"/>
      <c r="I44" s="10"/>
      <c r="J44" s="11"/>
    </row>
    <row r="45" spans="1:13" ht="15" customHeight="1">
      <c r="A45" s="175"/>
      <c r="B45" s="10"/>
      <c r="C45" s="10"/>
      <c r="D45" s="10"/>
      <c r="E45" s="10"/>
      <c r="F45" s="10"/>
      <c r="G45" s="10"/>
      <c r="H45" s="10"/>
      <c r="I45" s="10"/>
      <c r="J45" s="11"/>
    </row>
    <row r="46" spans="1:13" ht="15" customHeight="1">
      <c r="A46" s="175"/>
      <c r="B46" s="10"/>
      <c r="C46" s="10"/>
      <c r="D46" s="10"/>
      <c r="E46" s="10"/>
      <c r="F46" s="10"/>
      <c r="G46" s="10"/>
      <c r="H46" s="10"/>
      <c r="I46" s="10"/>
      <c r="J46" s="11"/>
    </row>
    <row r="47" spans="1:13" ht="15" customHeight="1">
      <c r="A47" s="175"/>
      <c r="B47" s="10"/>
      <c r="C47" s="10"/>
      <c r="D47" s="10"/>
      <c r="E47" s="10"/>
      <c r="F47" s="10"/>
      <c r="G47" s="10"/>
      <c r="H47" s="10"/>
      <c r="I47" s="10"/>
      <c r="J47" s="11"/>
    </row>
    <row r="48" spans="1:13" ht="15" customHeight="1">
      <c r="A48" s="175"/>
      <c r="B48" s="10"/>
      <c r="C48" s="10"/>
      <c r="D48" s="10"/>
      <c r="E48" s="10"/>
      <c r="F48" s="10"/>
      <c r="G48" s="10"/>
      <c r="H48" s="10"/>
      <c r="I48" s="10"/>
      <c r="J48" s="11"/>
    </row>
    <row r="49" spans="1:10" ht="15" customHeight="1">
      <c r="A49" s="175"/>
      <c r="B49" s="10"/>
      <c r="C49" s="10"/>
      <c r="D49" s="10"/>
      <c r="E49" s="10"/>
      <c r="F49" s="10"/>
      <c r="G49" s="10"/>
      <c r="H49" s="10"/>
      <c r="I49" s="10"/>
      <c r="J49" s="11"/>
    </row>
    <row r="50" spans="1:10" ht="15" customHeight="1">
      <c r="A50" s="175"/>
      <c r="B50" s="10"/>
      <c r="C50" s="10"/>
      <c r="D50" s="10"/>
      <c r="E50" s="10"/>
      <c r="F50" s="10"/>
      <c r="G50" s="10"/>
      <c r="H50" s="10"/>
      <c r="I50" s="10"/>
      <c r="J50" s="11"/>
    </row>
    <row r="51" spans="1:10" ht="15" customHeight="1">
      <c r="A51" s="175"/>
      <c r="B51" s="10"/>
      <c r="C51" s="10"/>
      <c r="D51" s="10"/>
      <c r="E51" s="10"/>
      <c r="F51" s="10"/>
      <c r="G51" s="10"/>
      <c r="H51" s="10"/>
      <c r="I51" s="10"/>
      <c r="J51" s="11"/>
    </row>
    <row r="52" spans="1:10" ht="15" customHeight="1">
      <c r="A52" s="175"/>
      <c r="B52" s="10"/>
      <c r="C52" s="10"/>
      <c r="D52" s="10"/>
      <c r="E52" s="10"/>
      <c r="F52" s="10"/>
      <c r="G52" s="10"/>
      <c r="H52" s="10"/>
      <c r="I52" s="10"/>
      <c r="J52" s="11"/>
    </row>
    <row r="53" spans="1:10" ht="15" customHeight="1">
      <c r="A53" s="175"/>
      <c r="B53" s="10"/>
      <c r="C53" s="10"/>
      <c r="D53" s="10"/>
      <c r="E53" s="10"/>
      <c r="F53" s="10"/>
      <c r="G53" s="10"/>
      <c r="H53" s="10"/>
      <c r="I53" s="10"/>
      <c r="J53" s="11"/>
    </row>
    <row r="54" spans="1:10" ht="15" customHeight="1">
      <c r="A54" s="175"/>
      <c r="B54" s="10"/>
      <c r="C54" s="10"/>
      <c r="D54" s="10"/>
      <c r="E54" s="10"/>
      <c r="F54" s="10"/>
      <c r="G54" s="10"/>
      <c r="H54" s="10"/>
      <c r="I54" s="10"/>
      <c r="J54" s="11"/>
    </row>
    <row r="55" spans="1:10" ht="5.25" customHeight="1">
      <c r="A55" s="175"/>
      <c r="B55" s="10"/>
      <c r="C55" s="10"/>
      <c r="D55" s="10"/>
      <c r="E55" s="10"/>
      <c r="F55" s="10"/>
      <c r="G55" s="10"/>
      <c r="H55" s="10"/>
      <c r="I55" s="10"/>
      <c r="J55" s="11"/>
    </row>
    <row r="56" spans="1:10" s="5" customFormat="1" ht="15" customHeight="1" thickBot="1">
      <c r="A56" s="37"/>
      <c r="B56" s="63"/>
      <c r="C56" s="63"/>
      <c r="D56" s="63"/>
      <c r="E56" s="63"/>
      <c r="F56" s="63"/>
      <c r="G56" s="63"/>
      <c r="H56" s="63"/>
      <c r="I56" s="63"/>
      <c r="J56" s="90"/>
    </row>
    <row r="57" spans="1:10" ht="11.25" customHeight="1">
      <c r="A57" s="35"/>
      <c r="B57" s="35"/>
      <c r="C57" s="35"/>
      <c r="D57" s="35"/>
      <c r="E57" s="35"/>
      <c r="F57" s="35"/>
      <c r="G57" s="35"/>
      <c r="H57" s="35"/>
      <c r="I57" s="35"/>
      <c r="J57" s="35"/>
    </row>
  </sheetData>
  <sheetProtection password="89E8" sheet="1" objects="1" scenarios="1" selectLockedCells="1"/>
  <mergeCells count="11">
    <mergeCell ref="A2:J2"/>
    <mergeCell ref="B4:E4"/>
    <mergeCell ref="G4:J4"/>
    <mergeCell ref="C5:D5"/>
    <mergeCell ref="A5:B5"/>
    <mergeCell ref="B3:J3"/>
    <mergeCell ref="C27:D27"/>
    <mergeCell ref="C34:D34"/>
    <mergeCell ref="C42:D42"/>
    <mergeCell ref="B12:I17"/>
    <mergeCell ref="B8:I9"/>
  </mergeCells>
  <phoneticPr fontId="3"/>
  <conditionalFormatting sqref="H33">
    <cfRule type="expression" dxfId="11" priority="1" stopIfTrue="1">
      <formula>OR($H$33&gt;$E$34,$H$33&lt;$F$34)</formula>
    </cfRule>
  </conditionalFormatting>
  <conditionalFormatting sqref="G42 H41">
    <cfRule type="expression" dxfId="10" priority="2" stopIfTrue="1">
      <formula>OR(+$H$41&gt;$E$42,$H$41&lt;$F$42)</formula>
    </cfRule>
  </conditionalFormatting>
  <conditionalFormatting sqref="I27 H42 I34">
    <cfRule type="expression" dxfId="9" priority="3" stopIfTrue="1">
      <formula>OR(+$I$39&gt;$E$40,$I$39&lt;$F$40)</formula>
    </cfRule>
  </conditionalFormatting>
  <conditionalFormatting sqref="H26">
    <cfRule type="expression" dxfId="8" priority="4" stopIfTrue="1">
      <formula>OR($H$26&gt;$E$27,$H$26&lt;$F$27)</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7"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2"/>
  <sheetViews>
    <sheetView showGridLines="0" view="pageBreakPreview" topLeftCell="A13" zoomScaleNormal="85" zoomScaleSheetLayoutView="100" workbookViewId="0">
      <selection activeCell="I24" sqref="I24"/>
    </sheetView>
  </sheetViews>
  <sheetFormatPr defaultRowHeight="13.5"/>
  <cols>
    <col min="1" max="1" width="5.125" style="4" customWidth="1"/>
    <col min="2" max="2" width="5.375" style="4" customWidth="1"/>
    <col min="3" max="3" width="6" style="4" customWidth="1"/>
    <col min="4" max="4" width="19.875" style="4" customWidth="1"/>
    <col min="5" max="5" width="10.875" style="4" customWidth="1"/>
    <col min="6" max="6" width="6" style="4" customWidth="1"/>
    <col min="7" max="7" width="5.375" style="4" customWidth="1"/>
    <col min="8" max="9" width="8.625" style="4" customWidth="1"/>
    <col min="10" max="10" width="4.5" style="4" customWidth="1"/>
    <col min="11" max="12" width="4.125" style="4" customWidth="1"/>
    <col min="13" max="13" width="9.5" style="4" customWidth="1"/>
    <col min="14" max="16384" width="9" style="4"/>
  </cols>
  <sheetData>
    <row r="1" spans="1:18" ht="14.25" thickBot="1"/>
    <row r="2" spans="1:18" s="5" customFormat="1" ht="19.5" customHeight="1" thickBot="1">
      <c r="A2" s="513" t="str">
        <f>+表紙!A2</f>
        <v>業務用厨房熱機器等性能測定結果　【電気機器】</v>
      </c>
      <c r="B2" s="514"/>
      <c r="C2" s="514"/>
      <c r="D2" s="514"/>
      <c r="E2" s="514"/>
      <c r="F2" s="514"/>
      <c r="G2" s="514"/>
      <c r="H2" s="514"/>
      <c r="I2" s="514"/>
      <c r="J2" s="514"/>
      <c r="K2" s="514"/>
      <c r="L2" s="515"/>
    </row>
    <row r="3" spans="1:18" s="5" customFormat="1" ht="28.5" customHeight="1" thickTop="1">
      <c r="A3" s="521" t="s">
        <v>273</v>
      </c>
      <c r="B3" s="522"/>
      <c r="C3" s="500" t="str">
        <f>+表紙!B3&amp;"　　（３．立上り性能）"</f>
        <v>ラックコンベア洗浄機、フライトコンベア洗浄機、フラットコンベア洗浄機(選択してください)　　（３．立上り性能）</v>
      </c>
      <c r="D3" s="501"/>
      <c r="E3" s="501"/>
      <c r="F3" s="501"/>
      <c r="G3" s="501"/>
      <c r="H3" s="501"/>
      <c r="I3" s="501"/>
      <c r="J3" s="501"/>
      <c r="K3" s="501"/>
      <c r="L3" s="502"/>
    </row>
    <row r="4" spans="1:18" s="5" customFormat="1" ht="20.100000000000001" customHeight="1" thickBot="1">
      <c r="A4" s="523" t="s">
        <v>0</v>
      </c>
      <c r="B4" s="524"/>
      <c r="C4" s="516" t="str">
        <f>IF(表紙!$B$6=0,"",表紙!$B$6)</f>
        <v/>
      </c>
      <c r="D4" s="491"/>
      <c r="E4" s="491"/>
      <c r="F4" s="491"/>
      <c r="G4" s="517"/>
      <c r="H4" s="233" t="s">
        <v>1</v>
      </c>
      <c r="I4" s="516" t="str">
        <f>IF(表紙!$H$5=0,"",表紙!$H$5)</f>
        <v/>
      </c>
      <c r="J4" s="491"/>
      <c r="K4" s="491"/>
      <c r="L4" s="518"/>
    </row>
    <row r="5" spans="1:18" s="5" customFormat="1" ht="14.25" customHeight="1">
      <c r="A5" s="528" t="s">
        <v>34</v>
      </c>
      <c r="B5" s="529"/>
      <c r="C5" s="520" t="s">
        <v>35</v>
      </c>
      <c r="D5" s="519"/>
      <c r="E5" s="519"/>
      <c r="F5" s="532" t="s">
        <v>40</v>
      </c>
      <c r="G5" s="533"/>
      <c r="H5" s="295"/>
      <c r="I5" s="520" t="s">
        <v>29</v>
      </c>
      <c r="J5" s="295"/>
      <c r="K5" s="525" t="s">
        <v>63</v>
      </c>
      <c r="L5" s="297"/>
    </row>
    <row r="6" spans="1:18" s="5" customFormat="1" ht="14.25" customHeight="1" thickBot="1">
      <c r="A6" s="530" t="s">
        <v>36</v>
      </c>
      <c r="B6" s="531"/>
      <c r="C6" s="380"/>
      <c r="D6" s="527"/>
      <c r="E6" s="527"/>
      <c r="F6" s="534"/>
      <c r="G6" s="535"/>
      <c r="H6" s="296"/>
      <c r="I6" s="380"/>
      <c r="J6" s="296"/>
      <c r="K6" s="526"/>
      <c r="L6" s="298"/>
    </row>
    <row r="7" spans="1:18" s="5" customFormat="1" ht="22.5" customHeight="1">
      <c r="A7" s="227"/>
      <c r="B7" s="505"/>
      <c r="C7" s="505"/>
      <c r="D7" s="505"/>
      <c r="E7" s="505"/>
      <c r="F7" s="200"/>
      <c r="G7" s="201"/>
      <c r="H7" s="211"/>
      <c r="I7" s="199"/>
      <c r="J7" s="211"/>
      <c r="K7" s="202"/>
      <c r="L7" s="212"/>
    </row>
    <row r="8" spans="1:18" s="5" customFormat="1" ht="15" customHeight="1">
      <c r="A8" s="197"/>
      <c r="B8" s="508" t="s">
        <v>281</v>
      </c>
      <c r="C8" s="508"/>
      <c r="D8" s="508"/>
      <c r="E8" s="508"/>
      <c r="F8" s="508"/>
      <c r="G8" s="508"/>
      <c r="H8" s="508"/>
      <c r="I8" s="508"/>
      <c r="J8" s="508"/>
      <c r="K8" s="508"/>
      <c r="L8" s="198"/>
    </row>
    <row r="9" spans="1:18" s="5" customFormat="1" ht="15" customHeight="1">
      <c r="A9" s="197"/>
      <c r="B9" s="508"/>
      <c r="C9" s="508"/>
      <c r="D9" s="508"/>
      <c r="E9" s="508"/>
      <c r="F9" s="508"/>
      <c r="G9" s="508"/>
      <c r="H9" s="508"/>
      <c r="I9" s="508"/>
      <c r="J9" s="508"/>
      <c r="K9" s="508"/>
      <c r="L9" s="198"/>
    </row>
    <row r="10" spans="1:18" s="5" customFormat="1" ht="15" customHeight="1">
      <c r="A10" s="197"/>
      <c r="B10" s="508"/>
      <c r="C10" s="508"/>
      <c r="D10" s="508"/>
      <c r="E10" s="508"/>
      <c r="F10" s="508"/>
      <c r="G10" s="508"/>
      <c r="H10" s="508"/>
      <c r="I10" s="508"/>
      <c r="J10" s="508"/>
      <c r="K10" s="508"/>
      <c r="L10" s="198"/>
    </row>
    <row r="11" spans="1:18" s="5" customFormat="1" ht="18" customHeight="1">
      <c r="A11" s="197"/>
      <c r="B11" s="508"/>
      <c r="C11" s="508"/>
      <c r="D11" s="508"/>
      <c r="E11" s="508"/>
      <c r="F11" s="508"/>
      <c r="G11" s="508"/>
      <c r="H11" s="508"/>
      <c r="I11" s="508"/>
      <c r="J11" s="508"/>
      <c r="K11" s="508"/>
      <c r="L11" s="198"/>
    </row>
    <row r="12" spans="1:18" s="5" customFormat="1" ht="15" customHeight="1">
      <c r="A12" s="197"/>
      <c r="B12" s="508"/>
      <c r="C12" s="508"/>
      <c r="D12" s="508"/>
      <c r="E12" s="508"/>
      <c r="F12" s="508"/>
      <c r="G12" s="508"/>
      <c r="H12" s="508"/>
      <c r="I12" s="508"/>
      <c r="J12" s="508"/>
      <c r="K12" s="508"/>
      <c r="L12" s="198"/>
    </row>
    <row r="13" spans="1:18" s="5" customFormat="1" ht="15" customHeight="1">
      <c r="A13" s="197"/>
      <c r="B13" s="508"/>
      <c r="C13" s="508"/>
      <c r="D13" s="508"/>
      <c r="E13" s="508"/>
      <c r="F13" s="508"/>
      <c r="G13" s="508"/>
      <c r="H13" s="508"/>
      <c r="I13" s="508"/>
      <c r="J13" s="508"/>
      <c r="K13" s="508"/>
      <c r="L13" s="198"/>
    </row>
    <row r="14" spans="1:18" s="5" customFormat="1" ht="22.5" customHeight="1">
      <c r="A14" s="197"/>
      <c r="B14" s="508"/>
      <c r="C14" s="508"/>
      <c r="D14" s="508"/>
      <c r="E14" s="508"/>
      <c r="F14" s="508"/>
      <c r="G14" s="508"/>
      <c r="H14" s="508"/>
      <c r="I14" s="508"/>
      <c r="J14" s="508"/>
      <c r="K14" s="508"/>
      <c r="L14" s="198"/>
    </row>
    <row r="15" spans="1:18" s="5" customFormat="1" ht="15" customHeight="1">
      <c r="A15" s="197"/>
      <c r="B15" s="508"/>
      <c r="C15" s="508"/>
      <c r="D15" s="508"/>
      <c r="E15" s="508"/>
      <c r="F15" s="508"/>
      <c r="G15" s="508"/>
      <c r="H15" s="508"/>
      <c r="I15" s="508"/>
      <c r="J15" s="508"/>
      <c r="K15" s="508"/>
      <c r="L15" s="198"/>
    </row>
    <row r="16" spans="1:18" s="5" customFormat="1" ht="17.45" customHeight="1">
      <c r="A16" s="197"/>
      <c r="B16" s="508"/>
      <c r="C16" s="508"/>
      <c r="D16" s="508"/>
      <c r="E16" s="508"/>
      <c r="F16" s="508"/>
      <c r="G16" s="508"/>
      <c r="H16" s="508"/>
      <c r="I16" s="508"/>
      <c r="J16" s="508"/>
      <c r="K16" s="508"/>
      <c r="L16" s="198"/>
      <c r="M16" s="9"/>
      <c r="N16" s="18" t="s">
        <v>275</v>
      </c>
      <c r="O16" s="10"/>
      <c r="P16" s="10"/>
      <c r="Q16" s="10"/>
      <c r="R16" s="10"/>
    </row>
    <row r="17" spans="1:19" s="5" customFormat="1" ht="18" customHeight="1">
      <c r="A17" s="197"/>
      <c r="B17" s="508"/>
      <c r="C17" s="508"/>
      <c r="D17" s="508"/>
      <c r="E17" s="508"/>
      <c r="F17" s="508"/>
      <c r="G17" s="508"/>
      <c r="H17" s="508"/>
      <c r="I17" s="508"/>
      <c r="J17" s="508"/>
      <c r="K17" s="508"/>
      <c r="L17" s="198"/>
      <c r="M17" s="9"/>
      <c r="N17" s="18" t="s">
        <v>274</v>
      </c>
      <c r="O17" s="10"/>
      <c r="P17" s="49"/>
      <c r="Q17" s="10"/>
      <c r="R17" s="10"/>
    </row>
    <row r="18" spans="1:19" s="5" customFormat="1" ht="18" customHeight="1">
      <c r="A18" s="197"/>
      <c r="B18" s="508"/>
      <c r="C18" s="508"/>
      <c r="D18" s="508"/>
      <c r="E18" s="508"/>
      <c r="F18" s="508"/>
      <c r="G18" s="508"/>
      <c r="H18" s="508"/>
      <c r="I18" s="508"/>
      <c r="J18" s="508"/>
      <c r="K18" s="508"/>
      <c r="L18" s="198"/>
    </row>
    <row r="19" spans="1:19" s="5" customFormat="1" ht="10.5" customHeight="1">
      <c r="A19" s="197"/>
      <c r="B19" s="251"/>
      <c r="C19" s="251"/>
      <c r="D19" s="251"/>
      <c r="E19" s="251"/>
      <c r="F19" s="251"/>
      <c r="G19" s="251"/>
      <c r="H19" s="251"/>
      <c r="I19" s="251"/>
      <c r="J19" s="251"/>
      <c r="K19" s="251"/>
      <c r="L19" s="198"/>
      <c r="P19" s="4"/>
    </row>
    <row r="20" spans="1:19" s="5" customFormat="1" ht="15" customHeight="1">
      <c r="A20" s="9"/>
      <c r="B20" s="253"/>
      <c r="C20" s="253"/>
      <c r="D20" s="253"/>
      <c r="E20" s="253"/>
      <c r="F20" s="253"/>
      <c r="G20" s="253"/>
      <c r="H20" s="299" t="s">
        <v>239</v>
      </c>
      <c r="I20" s="299" t="s">
        <v>240</v>
      </c>
      <c r="J20" s="10"/>
      <c r="K20" s="10"/>
      <c r="L20" s="11"/>
      <c r="N20" s="5" t="str">
        <f>IF(表紙!$J$11="給水接続","給水","給湯")</f>
        <v>給湯</v>
      </c>
      <c r="O20" s="5">
        <f>IF(表紙!$J$11="給水接続",15,60)</f>
        <v>60</v>
      </c>
    </row>
    <row r="21" spans="1:19" s="5" customFormat="1" ht="15.6" customHeight="1">
      <c r="A21" s="509" t="s">
        <v>283</v>
      </c>
      <c r="B21" s="510"/>
      <c r="C21" s="511"/>
      <c r="D21" s="511"/>
      <c r="E21" s="511"/>
      <c r="F21" s="511"/>
      <c r="G21" s="14" t="s">
        <v>133</v>
      </c>
      <c r="H21" s="300"/>
      <c r="I21" s="300"/>
      <c r="J21" s="15" t="s">
        <v>21</v>
      </c>
      <c r="K21" s="506" t="s">
        <v>20</v>
      </c>
      <c r="L21" s="507"/>
    </row>
    <row r="22" spans="1:19" s="5" customFormat="1" ht="16.5" customHeight="1">
      <c r="A22" s="9" t="s">
        <v>284</v>
      </c>
      <c r="B22" s="10"/>
      <c r="C22" s="15"/>
      <c r="D22" s="16"/>
      <c r="E22" s="16"/>
      <c r="F22" s="16"/>
      <c r="G22" s="14" t="s">
        <v>134</v>
      </c>
      <c r="H22" s="300"/>
      <c r="I22" s="300"/>
      <c r="J22" s="15" t="s">
        <v>21</v>
      </c>
      <c r="K22" s="506" t="s">
        <v>20</v>
      </c>
      <c r="L22" s="507"/>
      <c r="N22" s="5" t="str">
        <f>IF(表紙!$J$11="給水接続","立洗浄給水","立洗浄給湯")</f>
        <v>立洗浄給湯</v>
      </c>
      <c r="O22" s="503"/>
      <c r="P22" s="503"/>
      <c r="Q22" s="503"/>
      <c r="R22" s="241"/>
    </row>
    <row r="23" spans="1:19" s="5" customFormat="1" ht="16.5" customHeight="1">
      <c r="A23" s="9" t="s">
        <v>285</v>
      </c>
      <c r="B23" s="10"/>
      <c r="C23" s="15"/>
      <c r="D23" s="16"/>
      <c r="E23" s="16"/>
      <c r="F23" s="16"/>
      <c r="G23" s="14" t="s">
        <v>135</v>
      </c>
      <c r="H23" s="300"/>
      <c r="I23" s="300"/>
      <c r="J23" s="15" t="s">
        <v>21</v>
      </c>
      <c r="K23" s="506" t="s">
        <v>20</v>
      </c>
      <c r="L23" s="507"/>
      <c r="O23" s="503"/>
      <c r="P23" s="503"/>
      <c r="Q23" s="503"/>
      <c r="R23" s="241"/>
    </row>
    <row r="24" spans="1:19" s="5" customFormat="1" ht="16.5" customHeight="1">
      <c r="A24" s="252" t="s">
        <v>286</v>
      </c>
      <c r="B24" s="20"/>
      <c r="C24" s="13"/>
      <c r="D24" s="13"/>
      <c r="E24" s="13"/>
      <c r="F24" s="13"/>
      <c r="G24" s="14" t="s">
        <v>132</v>
      </c>
      <c r="H24" s="300"/>
      <c r="I24" s="300"/>
      <c r="J24" s="15" t="s">
        <v>21</v>
      </c>
      <c r="K24" s="506" t="s">
        <v>20</v>
      </c>
      <c r="L24" s="507"/>
      <c r="O24" s="503"/>
      <c r="P24" s="503"/>
      <c r="Q24" s="503"/>
      <c r="R24" s="241"/>
      <c r="S24" s="5" t="str">
        <f>IF(表紙!$J$11="給水接続","給水温","給湯温")</f>
        <v>給湯温</v>
      </c>
    </row>
    <row r="25" spans="1:19" s="5" customFormat="1" ht="16.5" customHeight="1">
      <c r="A25" s="17" t="s">
        <v>74</v>
      </c>
      <c r="B25" s="51"/>
      <c r="C25" s="15"/>
      <c r="D25" s="16"/>
      <c r="E25" s="512" t="str">
        <f>IF(OR(表紙!$G$14="無",表紙!$J$14="冷水仕上げすすぎ方式"),"20℃（変更しないでください）","")</f>
        <v/>
      </c>
      <c r="F25" s="512"/>
      <c r="G25" s="512"/>
      <c r="H25" s="14" t="s">
        <v>131</v>
      </c>
      <c r="I25" s="301" t="str">
        <f>IF(OR(表紙!$G$14="無",表紙!$J$14="冷水仕上げすすぎ方式"),20,"")</f>
        <v/>
      </c>
      <c r="J25" s="15" t="s">
        <v>26</v>
      </c>
      <c r="K25" s="506" t="s">
        <v>16</v>
      </c>
      <c r="L25" s="507"/>
      <c r="O25" s="504"/>
      <c r="P25" s="504"/>
      <c r="Q25" s="504"/>
      <c r="R25" s="242"/>
    </row>
    <row r="26" spans="1:19" s="5" customFormat="1" ht="17.25" customHeight="1">
      <c r="A26" s="18" t="str">
        <f>IF(表紙!$J$11="給水接続",N17,N16)</f>
        <v xml:space="preserve"> 　　　　　： 給湯温度[℃]</v>
      </c>
      <c r="B26" s="49"/>
      <c r="C26" s="10"/>
      <c r="D26" s="13"/>
      <c r="E26" s="13"/>
      <c r="F26" s="13"/>
      <c r="G26" s="13"/>
      <c r="H26" s="36" t="s">
        <v>276</v>
      </c>
      <c r="I26" s="301"/>
      <c r="J26" s="15" t="s">
        <v>26</v>
      </c>
      <c r="K26" s="506" t="s">
        <v>16</v>
      </c>
      <c r="L26" s="507"/>
      <c r="O26" s="504"/>
      <c r="P26" s="504"/>
      <c r="Q26" s="504"/>
      <c r="R26" s="242"/>
    </row>
    <row r="27" spans="1:19" s="5" customFormat="1" ht="16.5" customHeight="1">
      <c r="A27" s="18" t="s">
        <v>143</v>
      </c>
      <c r="B27" s="267"/>
      <c r="C27" s="10"/>
      <c r="D27" s="13"/>
      <c r="E27" s="13"/>
      <c r="F27" s="13"/>
      <c r="G27" s="13"/>
      <c r="H27" s="14" t="s">
        <v>55</v>
      </c>
      <c r="I27" s="19" t="str">
        <f>IF(表紙!C15="洗浄タンク",表紙!F15,IF(表紙!C16="洗浄タンク",表紙!F16,""))</f>
        <v/>
      </c>
      <c r="J27" s="10" t="s">
        <v>89</v>
      </c>
      <c r="K27" s="249"/>
      <c r="L27" s="250"/>
      <c r="O27" s="504"/>
      <c r="P27" s="504"/>
      <c r="Q27" s="504"/>
      <c r="R27" s="242"/>
    </row>
    <row r="28" spans="1:19" s="5" customFormat="1" ht="16.5" customHeight="1">
      <c r="A28" s="18" t="s">
        <v>126</v>
      </c>
      <c r="B28" s="267"/>
      <c r="C28" s="10"/>
      <c r="D28" s="13"/>
      <c r="E28" s="13"/>
      <c r="F28" s="13"/>
      <c r="G28" s="13"/>
      <c r="H28" s="14" t="s">
        <v>54</v>
      </c>
      <c r="I28" s="19" t="str">
        <f>IF(表紙!C16="循環すすぎタンク",表紙!F16,IF(表紙!H15="循環すすぎタンク",表紙!J15,""))</f>
        <v/>
      </c>
      <c r="J28" s="10" t="s">
        <v>89</v>
      </c>
      <c r="K28" s="249"/>
      <c r="L28" s="250"/>
      <c r="N28" s="5" t="str">
        <f>IF(表紙!$J$11="給水接続","立循環給水","立循環給湯")</f>
        <v>立循環給湯</v>
      </c>
      <c r="O28" s="504"/>
      <c r="P28" s="504"/>
      <c r="Q28" s="504"/>
      <c r="R28" s="242"/>
    </row>
    <row r="29" spans="1:19" s="5" customFormat="1" ht="16.5" customHeight="1">
      <c r="A29" s="18" t="s">
        <v>144</v>
      </c>
      <c r="B29" s="267"/>
      <c r="C29" s="10"/>
      <c r="D29" s="13"/>
      <c r="E29" s="13"/>
      <c r="F29" s="20"/>
      <c r="G29" s="20"/>
      <c r="H29" s="14" t="s">
        <v>130</v>
      </c>
      <c r="I29" s="301"/>
      <c r="J29" s="15" t="s">
        <v>24</v>
      </c>
      <c r="K29" s="506" t="s">
        <v>16</v>
      </c>
      <c r="L29" s="507"/>
      <c r="O29" s="504"/>
      <c r="P29" s="504"/>
      <c r="Q29" s="504"/>
      <c r="R29" s="242"/>
    </row>
    <row r="30" spans="1:19" s="5" customFormat="1" ht="16.5" customHeight="1">
      <c r="A30" s="18" t="s">
        <v>100</v>
      </c>
      <c r="B30" s="267"/>
      <c r="C30" s="10"/>
      <c r="D30" s="13"/>
      <c r="E30" s="13"/>
      <c r="F30" s="20"/>
      <c r="G30" s="20"/>
      <c r="H30" s="14" t="s">
        <v>129</v>
      </c>
      <c r="I30" s="301"/>
      <c r="J30" s="15" t="s">
        <v>24</v>
      </c>
      <c r="K30" s="506" t="s">
        <v>16</v>
      </c>
      <c r="L30" s="507"/>
      <c r="O30" s="504"/>
      <c r="P30" s="504"/>
      <c r="Q30" s="504"/>
      <c r="R30" s="242"/>
    </row>
    <row r="31" spans="1:19" s="5" customFormat="1" ht="16.5" customHeight="1">
      <c r="A31" s="252" t="s">
        <v>287</v>
      </c>
      <c r="B31" s="20"/>
      <c r="C31" s="10"/>
      <c r="D31" s="20"/>
      <c r="E31" s="20"/>
      <c r="F31" s="20"/>
      <c r="G31" s="20"/>
      <c r="H31" s="14" t="s">
        <v>56</v>
      </c>
      <c r="I31" s="21">
        <v>4.1900000000000004</v>
      </c>
      <c r="J31" s="15" t="s">
        <v>57</v>
      </c>
      <c r="K31" s="506"/>
      <c r="L31" s="507"/>
      <c r="O31" s="504"/>
      <c r="P31" s="504"/>
      <c r="Q31" s="504"/>
      <c r="R31" s="242"/>
    </row>
    <row r="32" spans="1:19" s="5" customFormat="1" ht="16.5" customHeight="1" thickBot="1">
      <c r="A32" s="252"/>
      <c r="B32" s="20"/>
      <c r="C32" s="10"/>
      <c r="D32" s="20"/>
      <c r="E32" s="20"/>
      <c r="F32" s="20"/>
      <c r="G32" s="20"/>
      <c r="H32" s="14"/>
      <c r="I32" s="21"/>
      <c r="J32" s="15"/>
      <c r="K32" s="249"/>
      <c r="L32" s="250"/>
      <c r="O32" s="504"/>
      <c r="P32" s="504"/>
      <c r="Q32" s="504"/>
      <c r="R32" s="242"/>
    </row>
    <row r="33" spans="1:18" s="5" customFormat="1" ht="18.75" customHeight="1" thickBot="1">
      <c r="A33" s="104"/>
      <c r="B33" s="35" t="s">
        <v>145</v>
      </c>
      <c r="C33" s="22"/>
      <c r="D33" s="13"/>
      <c r="E33" s="13"/>
      <c r="F33" s="13"/>
      <c r="G33" s="13"/>
      <c r="H33" s="14" t="s">
        <v>256</v>
      </c>
      <c r="I33" s="23" t="str">
        <f>IF(+表紙!$C$14="3タンク式",IF(COUNTBLANK(H21:I21)=0,(H21+I21)/2,""),"－")</f>
        <v>－</v>
      </c>
      <c r="J33" s="24" t="s">
        <v>64</v>
      </c>
      <c r="K33" s="506" t="s">
        <v>20</v>
      </c>
      <c r="L33" s="507"/>
      <c r="O33" s="504"/>
      <c r="P33" s="504"/>
      <c r="Q33" s="504"/>
      <c r="R33" s="242"/>
    </row>
    <row r="34" spans="1:18" s="5" customFormat="1" ht="7.5" customHeight="1">
      <c r="A34" s="9"/>
      <c r="B34" s="10"/>
      <c r="C34" s="22"/>
      <c r="D34" s="13"/>
      <c r="E34" s="13"/>
      <c r="F34" s="13"/>
      <c r="G34" s="13"/>
      <c r="H34" s="14"/>
      <c r="I34" s="25"/>
      <c r="J34" s="24"/>
      <c r="K34" s="26"/>
      <c r="L34" s="27"/>
    </row>
    <row r="35" spans="1:18" s="5" customFormat="1" ht="11.25" customHeight="1" thickBot="1">
      <c r="A35" s="9"/>
      <c r="B35" s="10"/>
      <c r="C35" s="20"/>
      <c r="D35" s="13"/>
      <c r="E35" s="13"/>
      <c r="F35" s="13"/>
      <c r="G35" s="13"/>
      <c r="H35" s="13"/>
      <c r="I35" s="13"/>
      <c r="J35" s="24"/>
      <c r="K35" s="256"/>
      <c r="L35" s="27"/>
    </row>
    <row r="36" spans="1:18" s="5" customFormat="1" ht="18.75" customHeight="1" thickBot="1">
      <c r="A36" s="105"/>
      <c r="B36" s="13" t="s">
        <v>146</v>
      </c>
      <c r="C36" s="20"/>
      <c r="D36" s="13"/>
      <c r="E36" s="13"/>
      <c r="F36" s="13"/>
      <c r="G36" s="28"/>
      <c r="H36" s="14" t="s">
        <v>256</v>
      </c>
      <c r="I36" s="23" t="str">
        <f>IF(I27&lt;&gt;"",IF(COUNT(H22,I22,I26,I27,I29,I31)=6,(H22+I22)/2+I31*(I26-O20)*I27/(60*I29),""),"－")</f>
        <v>－</v>
      </c>
      <c r="J36" s="24" t="s">
        <v>64</v>
      </c>
      <c r="K36" s="506" t="s">
        <v>20</v>
      </c>
      <c r="L36" s="507"/>
    </row>
    <row r="37" spans="1:18" s="5" customFormat="1" ht="15" customHeight="1">
      <c r="A37" s="9"/>
      <c r="B37" s="10"/>
      <c r="C37" s="20"/>
      <c r="D37" s="13"/>
      <c r="E37" s="13"/>
      <c r="F37" s="13"/>
      <c r="G37" s="28"/>
      <c r="H37" s="14"/>
      <c r="I37" s="25"/>
      <c r="J37" s="24"/>
      <c r="K37" s="26"/>
      <c r="L37" s="27"/>
    </row>
    <row r="38" spans="1:18" s="5" customFormat="1" ht="11.25" customHeight="1" thickBot="1">
      <c r="A38" s="9"/>
      <c r="B38" s="10"/>
      <c r="C38" s="10"/>
      <c r="D38" s="13"/>
      <c r="E38" s="13"/>
      <c r="F38" s="13"/>
      <c r="G38" s="13"/>
      <c r="H38" s="13"/>
      <c r="I38" s="13"/>
      <c r="J38" s="13"/>
      <c r="K38" s="16"/>
      <c r="L38" s="255"/>
    </row>
    <row r="39" spans="1:18" s="5" customFormat="1" ht="18.75" customHeight="1" thickBot="1">
      <c r="A39" s="105"/>
      <c r="B39" s="108" t="s">
        <v>58</v>
      </c>
      <c r="C39" s="22"/>
      <c r="D39" s="13"/>
      <c r="E39" s="13"/>
      <c r="F39" s="13"/>
      <c r="G39" s="28"/>
      <c r="H39" s="14" t="s">
        <v>256</v>
      </c>
      <c r="I39" s="23" t="str">
        <f>IF(I28&lt;&gt;"",IF(COUNT(H23,I23,I26,I28,I30,I31)=6,((H23+I23)/2)+I31*(I26-O20)*I28/(60*I30),""),"－")</f>
        <v>－</v>
      </c>
      <c r="J39" s="24" t="s">
        <v>99</v>
      </c>
      <c r="K39" s="506" t="s">
        <v>20</v>
      </c>
      <c r="L39" s="507"/>
    </row>
    <row r="40" spans="1:18" s="5" customFormat="1" ht="15" customHeight="1">
      <c r="A40" s="9"/>
      <c r="B40" s="10"/>
      <c r="C40" s="22"/>
      <c r="D40" s="13"/>
      <c r="E40" s="13"/>
      <c r="F40" s="13"/>
      <c r="G40" s="28"/>
      <c r="H40" s="14"/>
      <c r="I40" s="25"/>
      <c r="J40" s="24"/>
      <c r="K40" s="26"/>
      <c r="L40" s="255"/>
    </row>
    <row r="41" spans="1:18" s="5" customFormat="1" ht="11.25" customHeight="1" thickBot="1">
      <c r="A41" s="9"/>
      <c r="B41" s="10"/>
      <c r="C41" s="10"/>
      <c r="D41" s="13"/>
      <c r="E41" s="13"/>
      <c r="F41" s="13"/>
      <c r="G41" s="13"/>
      <c r="H41" s="13"/>
      <c r="I41" s="13"/>
      <c r="J41" s="24"/>
      <c r="K41" s="16"/>
      <c r="L41" s="255"/>
    </row>
    <row r="42" spans="1:18" s="5" customFormat="1" ht="18.75" customHeight="1" thickBot="1">
      <c r="A42" s="105"/>
      <c r="B42" s="108" t="s">
        <v>59</v>
      </c>
      <c r="C42" s="13"/>
      <c r="D42" s="13"/>
      <c r="E42" s="13"/>
      <c r="F42" s="13"/>
      <c r="G42" s="13"/>
      <c r="H42" s="14" t="s">
        <v>256</v>
      </c>
      <c r="I42" s="23" t="str">
        <f>IF(+表紙!G14="有",IF(COUNT(H24,I24,I25)=3,(H24+I24)/2*(80-20)/(80-I25),""),"－")</f>
        <v>－</v>
      </c>
      <c r="J42" s="24" t="s">
        <v>99</v>
      </c>
      <c r="K42" s="506" t="s">
        <v>20</v>
      </c>
      <c r="L42" s="507"/>
    </row>
    <row r="43" spans="1:18" s="5" customFormat="1" ht="15" customHeight="1">
      <c r="A43" s="9"/>
      <c r="B43" s="10"/>
      <c r="C43" s="13"/>
      <c r="D43" s="13"/>
      <c r="E43" s="13"/>
      <c r="F43" s="13"/>
      <c r="G43" s="13"/>
      <c r="H43" s="10"/>
      <c r="I43" s="10"/>
      <c r="J43" s="29"/>
      <c r="K43" s="15"/>
      <c r="L43" s="255"/>
    </row>
    <row r="44" spans="1:18" s="5" customFormat="1" ht="4.5" hidden="1" customHeight="1">
      <c r="A44" s="9"/>
      <c r="B44" s="10"/>
      <c r="C44" s="13"/>
      <c r="D44" s="13"/>
      <c r="E44" s="13"/>
      <c r="F44" s="13"/>
      <c r="G44" s="13"/>
      <c r="H44" s="10"/>
      <c r="I44" s="10"/>
      <c r="J44" s="29"/>
      <c r="K44" s="15"/>
      <c r="L44" s="255"/>
    </row>
    <row r="45" spans="1:18" s="5" customFormat="1" ht="21" customHeight="1" thickBot="1">
      <c r="A45" s="9"/>
      <c r="B45" s="30" t="s">
        <v>254</v>
      </c>
      <c r="D45" s="13"/>
      <c r="E45" s="13"/>
      <c r="F45" s="13"/>
      <c r="G45" s="13"/>
      <c r="H45" s="13"/>
      <c r="I45" s="13"/>
      <c r="J45" s="24"/>
      <c r="K45" s="16"/>
      <c r="L45" s="255"/>
    </row>
    <row r="46" spans="1:18" s="5" customFormat="1" ht="30" customHeight="1" thickBot="1">
      <c r="A46" s="9"/>
      <c r="B46" s="10"/>
      <c r="C46" s="20" t="s">
        <v>168</v>
      </c>
      <c r="E46" s="13"/>
      <c r="F46" s="13"/>
      <c r="G46" s="13"/>
      <c r="H46" s="14" t="s">
        <v>255</v>
      </c>
      <c r="I46" s="31" t="str">
        <f>IF(I36="－","－",MAX(I33,I36,I39,I42))</f>
        <v>－</v>
      </c>
      <c r="J46" s="24" t="s">
        <v>99</v>
      </c>
      <c r="K46" s="506" t="s">
        <v>20</v>
      </c>
      <c r="L46" s="507"/>
      <c r="M46" s="10"/>
    </row>
    <row r="47" spans="1:18" s="5" customFormat="1" ht="4.9000000000000004" customHeight="1">
      <c r="A47" s="9"/>
      <c r="B47" s="10"/>
      <c r="C47" s="20"/>
      <c r="E47" s="13"/>
      <c r="F47" s="13"/>
      <c r="G47" s="13"/>
      <c r="H47" s="14"/>
      <c r="I47" s="106"/>
      <c r="J47" s="24"/>
      <c r="K47" s="249"/>
      <c r="L47" s="250"/>
      <c r="M47" s="10"/>
    </row>
    <row r="48" spans="1:18" s="5" customFormat="1" ht="15" customHeight="1">
      <c r="A48" s="9"/>
      <c r="B48" s="10"/>
      <c r="C48" s="10"/>
      <c r="D48" s="20"/>
      <c r="E48" s="13"/>
      <c r="F48" s="13"/>
      <c r="G48" s="13"/>
      <c r="H48" s="238" t="s">
        <v>239</v>
      </c>
      <c r="I48" s="238" t="s">
        <v>240</v>
      </c>
      <c r="J48" s="20"/>
      <c r="K48" s="249"/>
      <c r="L48" s="250"/>
      <c r="M48" s="10"/>
    </row>
    <row r="49" spans="1:13" s="5" customFormat="1" ht="15" customHeight="1">
      <c r="A49" s="9"/>
      <c r="B49" s="10" t="s">
        <v>142</v>
      </c>
      <c r="D49" s="20"/>
      <c r="E49" s="13"/>
      <c r="F49" s="13"/>
      <c r="G49" s="13"/>
      <c r="H49" s="107" t="str">
        <f>IF(COUNTA(H21:H24)&lt;&gt;0,MAX(H21:H24),"")</f>
        <v/>
      </c>
      <c r="I49" s="107" t="str">
        <f>IF(COUNTA(I21:I24)&lt;&gt;0,MAX(I21:I24),"")</f>
        <v/>
      </c>
      <c r="J49" s="15" t="s">
        <v>21</v>
      </c>
      <c r="K49" s="506" t="s">
        <v>20</v>
      </c>
      <c r="L49" s="507"/>
      <c r="M49" s="10"/>
    </row>
    <row r="50" spans="1:13" s="5" customFormat="1" ht="3.75" customHeight="1">
      <c r="A50" s="9"/>
      <c r="B50" s="10"/>
      <c r="D50" s="20"/>
      <c r="E50" s="13"/>
      <c r="F50" s="13"/>
      <c r="G50" s="13"/>
      <c r="H50" s="14"/>
      <c r="I50" s="106"/>
      <c r="J50" s="20"/>
      <c r="K50" s="249"/>
      <c r="L50" s="250"/>
      <c r="M50" s="10"/>
    </row>
    <row r="51" spans="1:13" s="5" customFormat="1" ht="18" customHeight="1">
      <c r="A51" s="9"/>
      <c r="B51" s="10" t="s">
        <v>88</v>
      </c>
      <c r="D51" s="20"/>
      <c r="E51" s="13"/>
      <c r="F51" s="10"/>
      <c r="G51" s="32" t="s">
        <v>149</v>
      </c>
      <c r="H51" s="302"/>
      <c r="I51" s="303"/>
      <c r="J51" s="33" t="s">
        <v>98</v>
      </c>
      <c r="K51" s="536" t="s">
        <v>41</v>
      </c>
      <c r="L51" s="537"/>
      <c r="M51" s="34"/>
    </row>
    <row r="52" spans="1:13" s="5" customFormat="1" ht="11.25" customHeight="1" thickBot="1">
      <c r="A52" s="37"/>
      <c r="B52" s="63"/>
      <c r="C52" s="38"/>
      <c r="D52" s="38"/>
      <c r="E52" s="38"/>
      <c r="F52" s="39"/>
      <c r="G52" s="39"/>
      <c r="H52" s="40"/>
      <c r="I52" s="112"/>
      <c r="J52" s="41"/>
      <c r="K52" s="42"/>
      <c r="L52" s="43"/>
      <c r="M52" s="29"/>
    </row>
    <row r="53" spans="1:13" s="5" customFormat="1" ht="9" customHeight="1">
      <c r="I53" s="10"/>
      <c r="M53" s="10"/>
    </row>
    <row r="54" spans="1:13" s="5" customFormat="1" ht="17.25" customHeight="1">
      <c r="I54" s="10"/>
    </row>
    <row r="55" spans="1:13" s="5" customFormat="1" ht="19.5" customHeight="1"/>
    <row r="56" spans="1:13" s="5" customFormat="1" ht="28.5" customHeight="1"/>
    <row r="57" spans="1:13" s="5" customFormat="1" ht="20.100000000000001" customHeight="1"/>
    <row r="58" spans="1:13" s="5" customFormat="1" ht="14.25" customHeight="1"/>
    <row r="59" spans="1:13" s="5" customFormat="1" ht="14.25" customHeight="1"/>
    <row r="60" spans="1:13" s="5" customFormat="1" ht="15" customHeight="1"/>
    <row r="61" spans="1:13" s="5" customFormat="1" ht="15" customHeight="1"/>
    <row r="62" spans="1:13" s="5" customFormat="1" ht="15" customHeight="1"/>
  </sheetData>
  <sheetProtection password="89E8" sheet="1" objects="1" scenarios="1" selectLockedCells="1"/>
  <mergeCells count="38">
    <mergeCell ref="K51:L51"/>
    <mergeCell ref="K22:L22"/>
    <mergeCell ref="K23:L23"/>
    <mergeCell ref="K24:L24"/>
    <mergeCell ref="K46:L46"/>
    <mergeCell ref="K49:L49"/>
    <mergeCell ref="K29:L29"/>
    <mergeCell ref="K31:L31"/>
    <mergeCell ref="K33:L33"/>
    <mergeCell ref="K26:L26"/>
    <mergeCell ref="K30:L30"/>
    <mergeCell ref="K39:L39"/>
    <mergeCell ref="K42:L42"/>
    <mergeCell ref="K36:L36"/>
    <mergeCell ref="A2:L2"/>
    <mergeCell ref="C4:G4"/>
    <mergeCell ref="I4:L4"/>
    <mergeCell ref="D5:E5"/>
    <mergeCell ref="I5:I6"/>
    <mergeCell ref="A3:B3"/>
    <mergeCell ref="C3:L3"/>
    <mergeCell ref="A4:B4"/>
    <mergeCell ref="K5:K6"/>
    <mergeCell ref="D6:E6"/>
    <mergeCell ref="A5:B5"/>
    <mergeCell ref="A6:B6"/>
    <mergeCell ref="F5:G6"/>
    <mergeCell ref="C5:C6"/>
    <mergeCell ref="O22:Q24"/>
    <mergeCell ref="O31:Q33"/>
    <mergeCell ref="O28:Q30"/>
    <mergeCell ref="O25:Q27"/>
    <mergeCell ref="B7:E7"/>
    <mergeCell ref="K25:L25"/>
    <mergeCell ref="B8:K18"/>
    <mergeCell ref="A21:F21"/>
    <mergeCell ref="K21:L21"/>
    <mergeCell ref="E25:G25"/>
  </mergeCells>
  <phoneticPr fontId="3"/>
  <pageMargins left="0.78740157480314965" right="0.51181102362204722" top="0.78740157480314965" bottom="0.39370078740157483" header="0.19685039370078741" footer="0.19685039370078741"/>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Normal="100" zoomScaleSheetLayoutView="100" workbookViewId="0">
      <selection activeCell="A3" sqref="A3"/>
    </sheetView>
  </sheetViews>
  <sheetFormatPr defaultRowHeight="13.5"/>
  <cols>
    <col min="1" max="1" width="10.375" style="4" customWidth="1"/>
    <col min="2" max="5" width="7.5" style="4" customWidth="1"/>
    <col min="6" max="6" width="5.25" style="4" customWidth="1"/>
    <col min="7" max="7" width="3.125" style="4" customWidth="1"/>
    <col min="8" max="8" width="2.25" style="4" customWidth="1"/>
    <col min="9" max="12" width="7.5" style="4" customWidth="1"/>
    <col min="13" max="13" width="5.25" style="4" customWidth="1"/>
    <col min="14" max="14" width="1.375" style="4" customWidth="1"/>
    <col min="15" max="15" width="2.25" style="4" customWidth="1"/>
    <col min="16" max="16" width="5.625" style="4" customWidth="1"/>
    <col min="17" max="19" width="9" style="4" customWidth="1"/>
    <col min="20" max="16384" width="9" style="4"/>
  </cols>
  <sheetData>
    <row r="1" spans="1:15" ht="14.25" thickBot="1"/>
    <row r="2" spans="1:15" s="5" customFormat="1" ht="19.5" customHeight="1" thickBot="1">
      <c r="A2" s="513" t="str">
        <f>+表紙!A2</f>
        <v>業務用厨房熱機器等性能測定結果　【電気機器】</v>
      </c>
      <c r="B2" s="514"/>
      <c r="C2" s="514"/>
      <c r="D2" s="514"/>
      <c r="E2" s="514"/>
      <c r="F2" s="514"/>
      <c r="G2" s="514"/>
      <c r="H2" s="514"/>
      <c r="I2" s="514"/>
      <c r="J2" s="514"/>
      <c r="K2" s="514"/>
      <c r="L2" s="514"/>
      <c r="M2" s="514"/>
      <c r="N2" s="514"/>
      <c r="O2" s="515"/>
    </row>
    <row r="3" spans="1:15" s="5" customFormat="1" ht="28.5" customHeight="1" thickTop="1">
      <c r="A3" s="6" t="s">
        <v>273</v>
      </c>
      <c r="B3" s="500" t="str">
        <f>+表紙!B3&amp;"　　（４．処理能力）"</f>
        <v>ラックコンベア洗浄機、フライトコンベア洗浄機、フラットコンベア洗浄機(選択してください)　　（４．処理能力）</v>
      </c>
      <c r="C3" s="501"/>
      <c r="D3" s="501"/>
      <c r="E3" s="501"/>
      <c r="F3" s="501"/>
      <c r="G3" s="501"/>
      <c r="H3" s="501"/>
      <c r="I3" s="501"/>
      <c r="J3" s="501"/>
      <c r="K3" s="501"/>
      <c r="L3" s="501"/>
      <c r="M3" s="501"/>
      <c r="N3" s="501"/>
      <c r="O3" s="502"/>
    </row>
    <row r="4" spans="1:15" s="5" customFormat="1" ht="19.5" customHeight="1" thickBot="1">
      <c r="A4" s="7" t="s">
        <v>0</v>
      </c>
      <c r="B4" s="516" t="str">
        <f>IF(表紙!$B$6=0,"",表紙!$B$6)</f>
        <v/>
      </c>
      <c r="C4" s="491"/>
      <c r="D4" s="491"/>
      <c r="E4" s="491"/>
      <c r="F4" s="491"/>
      <c r="G4" s="491"/>
      <c r="H4" s="491"/>
      <c r="I4" s="491"/>
      <c r="J4" s="517"/>
      <c r="K4" s="233" t="s">
        <v>1</v>
      </c>
      <c r="L4" s="516" t="str">
        <f>IF(表紙!$H$5=0,"",表紙!$H$5)</f>
        <v/>
      </c>
      <c r="M4" s="491"/>
      <c r="N4" s="491"/>
      <c r="O4" s="518"/>
    </row>
    <row r="5" spans="1:15" s="5" customFormat="1" ht="7.5" customHeight="1">
      <c r="A5" s="271"/>
      <c r="B5" s="272"/>
      <c r="C5" s="272"/>
      <c r="D5" s="272"/>
      <c r="E5" s="272"/>
      <c r="F5" s="272"/>
      <c r="G5" s="272"/>
      <c r="H5" s="272"/>
      <c r="I5" s="272"/>
      <c r="J5" s="272"/>
      <c r="K5" s="262"/>
      <c r="L5" s="272"/>
      <c r="M5" s="272"/>
      <c r="N5" s="46"/>
      <c r="O5" s="47"/>
    </row>
    <row r="6" spans="1:15" s="242" customFormat="1" ht="16.5" customHeight="1">
      <c r="A6" s="252"/>
      <c r="B6" s="556" t="s">
        <v>196</v>
      </c>
      <c r="C6" s="556"/>
      <c r="D6" s="556"/>
      <c r="E6" s="556"/>
      <c r="F6" s="556"/>
      <c r="G6" s="556"/>
      <c r="H6" s="556"/>
      <c r="I6" s="556"/>
      <c r="J6" s="556"/>
      <c r="K6" s="556"/>
      <c r="L6" s="556"/>
      <c r="M6" s="556"/>
      <c r="N6" s="20"/>
      <c r="O6" s="273"/>
    </row>
    <row r="7" spans="1:15" s="242" customFormat="1" ht="16.5" customHeight="1">
      <c r="A7" s="252"/>
      <c r="B7" s="556"/>
      <c r="C7" s="556"/>
      <c r="D7" s="556"/>
      <c r="E7" s="556"/>
      <c r="F7" s="556"/>
      <c r="G7" s="556"/>
      <c r="H7" s="556"/>
      <c r="I7" s="556"/>
      <c r="J7" s="556"/>
      <c r="K7" s="556"/>
      <c r="L7" s="556"/>
      <c r="M7" s="556"/>
      <c r="N7" s="102"/>
      <c r="O7" s="273"/>
    </row>
    <row r="8" spans="1:15" s="242" customFormat="1" ht="15" customHeight="1">
      <c r="A8" s="252"/>
      <c r="B8" s="1"/>
      <c r="C8" s="20"/>
      <c r="D8" s="20"/>
      <c r="E8" s="20"/>
      <c r="F8" s="20"/>
      <c r="G8" s="20"/>
      <c r="H8" s="20"/>
      <c r="I8" s="20"/>
      <c r="J8" s="102"/>
      <c r="K8" s="102"/>
      <c r="L8" s="102"/>
      <c r="M8" s="102"/>
      <c r="N8" s="102"/>
      <c r="O8" s="273"/>
    </row>
    <row r="9" spans="1:15" s="242" customFormat="1" ht="15" customHeight="1">
      <c r="A9" s="252"/>
      <c r="C9" s="557" t="s">
        <v>195</v>
      </c>
      <c r="D9" s="557"/>
      <c r="E9" s="557"/>
      <c r="F9" s="557"/>
      <c r="G9" s="557"/>
      <c r="H9" s="557"/>
      <c r="I9" s="557"/>
      <c r="J9" s="557"/>
      <c r="K9" s="557"/>
      <c r="L9" s="557"/>
      <c r="M9" s="557"/>
      <c r="N9" s="274"/>
      <c r="O9" s="273"/>
    </row>
    <row r="10" spans="1:15" s="242" customFormat="1" ht="15" customHeight="1">
      <c r="A10" s="252"/>
      <c r="C10" s="557"/>
      <c r="D10" s="557"/>
      <c r="E10" s="557"/>
      <c r="F10" s="557"/>
      <c r="G10" s="557"/>
      <c r="H10" s="557"/>
      <c r="I10" s="557"/>
      <c r="J10" s="557"/>
      <c r="K10" s="557"/>
      <c r="L10" s="557"/>
      <c r="M10" s="557"/>
      <c r="N10" s="274"/>
      <c r="O10" s="273"/>
    </row>
    <row r="11" spans="1:15" s="242" customFormat="1" ht="3.75" customHeight="1">
      <c r="A11" s="252"/>
      <c r="B11" s="253"/>
      <c r="C11" s="253"/>
      <c r="D11" s="253"/>
      <c r="E11" s="253"/>
      <c r="F11" s="253"/>
      <c r="G11" s="253"/>
      <c r="H11" s="253"/>
      <c r="I11" s="253"/>
      <c r="J11" s="102"/>
      <c r="K11" s="102"/>
      <c r="L11" s="102"/>
      <c r="M11" s="102"/>
      <c r="N11" s="102"/>
      <c r="O11" s="273"/>
    </row>
    <row r="12" spans="1:15" s="5" customFormat="1" ht="17.25" customHeight="1">
      <c r="A12" s="9"/>
      <c r="B12" s="549" t="s">
        <v>197</v>
      </c>
      <c r="C12" s="549"/>
      <c r="D12" s="549"/>
      <c r="E12" s="549"/>
      <c r="F12" s="549"/>
      <c r="G12" s="549"/>
      <c r="H12" s="549"/>
      <c r="I12" s="549"/>
      <c r="J12" s="549"/>
      <c r="K12" s="549"/>
      <c r="L12" s="549"/>
      <c r="M12" s="549"/>
      <c r="N12" s="13"/>
      <c r="O12" s="275"/>
    </row>
    <row r="13" spans="1:15" s="5" customFormat="1" ht="17.25" customHeight="1">
      <c r="A13" s="9"/>
      <c r="B13" s="549"/>
      <c r="C13" s="549"/>
      <c r="D13" s="549"/>
      <c r="E13" s="549"/>
      <c r="F13" s="549"/>
      <c r="G13" s="549"/>
      <c r="H13" s="549"/>
      <c r="I13" s="549"/>
      <c r="J13" s="549"/>
      <c r="K13" s="549"/>
      <c r="L13" s="549"/>
      <c r="M13" s="549"/>
      <c r="N13" s="13"/>
      <c r="O13" s="275"/>
    </row>
    <row r="14" spans="1:15" s="5" customFormat="1" ht="3.75" customHeight="1">
      <c r="A14" s="9"/>
      <c r="B14" s="549"/>
      <c r="C14" s="549"/>
      <c r="D14" s="549"/>
      <c r="E14" s="549"/>
      <c r="F14" s="549"/>
      <c r="G14" s="549"/>
      <c r="H14" s="549"/>
      <c r="I14" s="549"/>
      <c r="J14" s="549"/>
      <c r="K14" s="549"/>
      <c r="L14" s="549"/>
      <c r="M14" s="549"/>
      <c r="N14" s="13"/>
      <c r="O14" s="275"/>
    </row>
    <row r="15" spans="1:15" s="5" customFormat="1" ht="17.25" customHeight="1">
      <c r="A15" s="9"/>
      <c r="B15" s="549" t="s">
        <v>198</v>
      </c>
      <c r="C15" s="549"/>
      <c r="D15" s="549"/>
      <c r="E15" s="549"/>
      <c r="F15" s="549"/>
      <c r="G15" s="549"/>
      <c r="H15" s="549"/>
      <c r="I15" s="549"/>
      <c r="J15" s="549"/>
      <c r="K15" s="549"/>
      <c r="L15" s="549"/>
      <c r="M15" s="549"/>
      <c r="N15" s="13"/>
      <c r="O15" s="275"/>
    </row>
    <row r="16" spans="1:15" s="5" customFormat="1" ht="17.25" customHeight="1">
      <c r="A16" s="9"/>
      <c r="B16" s="549"/>
      <c r="C16" s="549"/>
      <c r="D16" s="549"/>
      <c r="E16" s="549"/>
      <c r="F16" s="549"/>
      <c r="G16" s="549"/>
      <c r="H16" s="549"/>
      <c r="I16" s="549"/>
      <c r="J16" s="549"/>
      <c r="K16" s="549"/>
      <c r="L16" s="549"/>
      <c r="M16" s="549"/>
      <c r="N16" s="13"/>
      <c r="O16" s="275"/>
    </row>
    <row r="17" spans="1:17" s="5" customFormat="1" ht="3.75" customHeight="1">
      <c r="A17" s="9"/>
      <c r="B17" s="549"/>
      <c r="C17" s="549"/>
      <c r="D17" s="549"/>
      <c r="E17" s="549"/>
      <c r="F17" s="549"/>
      <c r="G17" s="549"/>
      <c r="H17" s="549"/>
      <c r="I17" s="549"/>
      <c r="J17" s="549"/>
      <c r="K17" s="549"/>
      <c r="L17" s="549"/>
      <c r="M17" s="549"/>
      <c r="N17" s="13"/>
      <c r="O17" s="275"/>
    </row>
    <row r="18" spans="1:17" s="5" customFormat="1" ht="13.15" customHeight="1">
      <c r="A18" s="9"/>
      <c r="B18" s="555" t="s">
        <v>225</v>
      </c>
      <c r="C18" s="555"/>
      <c r="D18" s="555"/>
      <c r="E18" s="555"/>
      <c r="F18" s="555"/>
      <c r="G18" s="555"/>
      <c r="H18" s="555"/>
      <c r="I18" s="555"/>
      <c r="J18" s="555"/>
      <c r="K18" s="555"/>
      <c r="L18" s="555"/>
      <c r="M18" s="555"/>
      <c r="N18" s="13"/>
      <c r="O18" s="275"/>
    </row>
    <row r="19" spans="1:17" s="5" customFormat="1" ht="17.25" customHeight="1">
      <c r="A19" s="9"/>
      <c r="B19" s="555"/>
      <c r="C19" s="555"/>
      <c r="D19" s="555"/>
      <c r="E19" s="555"/>
      <c r="F19" s="555"/>
      <c r="G19" s="555"/>
      <c r="H19" s="555"/>
      <c r="I19" s="555"/>
      <c r="J19" s="555"/>
      <c r="K19" s="555"/>
      <c r="L19" s="555"/>
      <c r="M19" s="555"/>
      <c r="N19" s="13"/>
      <c r="O19" s="275"/>
    </row>
    <row r="20" spans="1:17" s="5" customFormat="1" ht="17.25" customHeight="1">
      <c r="A20" s="9"/>
      <c r="B20" s="555"/>
      <c r="C20" s="555"/>
      <c r="D20" s="555"/>
      <c r="E20" s="555"/>
      <c r="F20" s="555"/>
      <c r="G20" s="555"/>
      <c r="H20" s="555"/>
      <c r="I20" s="555"/>
      <c r="J20" s="555"/>
      <c r="K20" s="555"/>
      <c r="L20" s="555"/>
      <c r="M20" s="555"/>
      <c r="N20" s="13"/>
      <c r="O20" s="275"/>
    </row>
    <row r="21" spans="1:17" s="5" customFormat="1" ht="17.25" customHeight="1">
      <c r="A21" s="9"/>
      <c r="B21" s="555"/>
      <c r="C21" s="555"/>
      <c r="D21" s="555"/>
      <c r="E21" s="555"/>
      <c r="F21" s="555"/>
      <c r="G21" s="555"/>
      <c r="H21" s="555"/>
      <c r="I21" s="555"/>
      <c r="J21" s="555"/>
      <c r="K21" s="555"/>
      <c r="L21" s="555"/>
      <c r="M21" s="555"/>
      <c r="N21" s="13"/>
      <c r="O21" s="275"/>
    </row>
    <row r="22" spans="1:17" s="5" customFormat="1" ht="20.45" customHeight="1">
      <c r="A22" s="9"/>
      <c r="B22" s="555"/>
      <c r="C22" s="555"/>
      <c r="D22" s="555"/>
      <c r="E22" s="555"/>
      <c r="F22" s="555"/>
      <c r="G22" s="555"/>
      <c r="H22" s="555"/>
      <c r="I22" s="555"/>
      <c r="J22" s="555"/>
      <c r="K22" s="555"/>
      <c r="L22" s="555"/>
      <c r="M22" s="555"/>
      <c r="N22" s="13"/>
      <c r="O22" s="275"/>
    </row>
    <row r="23" spans="1:17" s="5" customFormat="1" ht="12" customHeight="1">
      <c r="A23" s="9"/>
      <c r="B23" s="266"/>
      <c r="C23" s="266"/>
      <c r="D23" s="266"/>
      <c r="E23" s="266"/>
      <c r="F23" s="266"/>
      <c r="G23" s="266"/>
      <c r="H23" s="266"/>
      <c r="I23" s="266"/>
      <c r="J23" s="266"/>
      <c r="K23" s="266"/>
      <c r="L23" s="266"/>
      <c r="M23" s="266"/>
      <c r="N23" s="13"/>
      <c r="O23" s="275"/>
    </row>
    <row r="24" spans="1:17" s="5" customFormat="1" ht="17.25" customHeight="1">
      <c r="A24" s="9"/>
      <c r="B24" s="550" t="s">
        <v>162</v>
      </c>
      <c r="C24" s="551"/>
      <c r="D24" s="551"/>
      <c r="E24" s="551"/>
      <c r="F24" s="551"/>
      <c r="G24" s="10"/>
      <c r="H24" s="10"/>
      <c r="I24" s="552" t="s">
        <v>163</v>
      </c>
      <c r="J24" s="552"/>
      <c r="K24" s="552"/>
      <c r="L24" s="552"/>
      <c r="M24" s="552"/>
      <c r="N24" s="10"/>
      <c r="O24" s="11"/>
      <c r="Q24" s="5" t="str">
        <f>IF(表紙!C12="ラックコンベア型","○","")</f>
        <v/>
      </c>
    </row>
    <row r="25" spans="1:17" s="5" customFormat="1" ht="17.25" customHeight="1">
      <c r="A25" s="9"/>
      <c r="B25" s="553" t="s">
        <v>77</v>
      </c>
      <c r="C25" s="554"/>
      <c r="D25" s="554"/>
      <c r="E25" s="554"/>
      <c r="F25" s="2" t="str">
        <f>IF(+表紙!$B$3="フラットコンベア洗浄機",IF(+表紙!H12&lt;&gt;"",+表紙!H12,""),"-")</f>
        <v>-</v>
      </c>
      <c r="G25" s="10"/>
      <c r="H25" s="10"/>
      <c r="I25" s="553" t="s">
        <v>77</v>
      </c>
      <c r="J25" s="554"/>
      <c r="K25" s="554"/>
      <c r="L25" s="554"/>
      <c r="M25" s="2" t="str">
        <f>IF(+表紙!$B$3="フライトコンベア洗浄機",IF(+表紙!H12&lt;&gt;"",+表紙!H12,""),"-")</f>
        <v>-</v>
      </c>
      <c r="N25" s="10"/>
      <c r="O25" s="11"/>
    </row>
    <row r="26" spans="1:17" s="5" customFormat="1" ht="17.25" customHeight="1">
      <c r="A26" s="9"/>
      <c r="B26" s="541" t="s">
        <v>82</v>
      </c>
      <c r="C26" s="542"/>
      <c r="D26" s="542"/>
      <c r="E26" s="542"/>
      <c r="F26" s="2" t="str">
        <f>IF(+表紙!$B$3="フラットコンベア洗浄機",180,"-")</f>
        <v>-</v>
      </c>
      <c r="G26" s="10"/>
      <c r="H26" s="10"/>
      <c r="I26" s="541" t="s">
        <v>165</v>
      </c>
      <c r="J26" s="542"/>
      <c r="K26" s="542"/>
      <c r="L26" s="542"/>
      <c r="M26" s="2" t="str">
        <f>IF(+表紙!$B$3="フライトコンベア洗浄機",IF(+表紙!K12&lt;&gt;"",+表紙!K12,""),"-")</f>
        <v>-</v>
      </c>
      <c r="N26" s="10"/>
      <c r="O26" s="11"/>
    </row>
    <row r="27" spans="1:17" s="5" customFormat="1" ht="17.25" customHeight="1">
      <c r="A27" s="9"/>
      <c r="B27" s="541" t="s">
        <v>79</v>
      </c>
      <c r="C27" s="542"/>
      <c r="D27" s="542"/>
      <c r="E27" s="542"/>
      <c r="F27" s="109" t="str">
        <f>IF(+表紙!$B$3="フラットコンベア洗浄機",0.26,"-")</f>
        <v>-</v>
      </c>
      <c r="G27" s="10"/>
      <c r="H27" s="10"/>
      <c r="I27" s="541" t="s">
        <v>82</v>
      </c>
      <c r="J27" s="542"/>
      <c r="K27" s="542"/>
      <c r="L27" s="542"/>
      <c r="M27" s="2" t="str">
        <f>IF(+表紙!$B$3="フライトコンベア洗浄機",230,"-")</f>
        <v>-</v>
      </c>
      <c r="N27" s="10"/>
      <c r="O27" s="11"/>
    </row>
    <row r="28" spans="1:17" s="5" customFormat="1" ht="17.25" customHeight="1">
      <c r="A28" s="9"/>
      <c r="B28" s="538" t="s">
        <v>80</v>
      </c>
      <c r="C28" s="539"/>
      <c r="D28" s="539"/>
      <c r="E28" s="539"/>
      <c r="F28" s="115" t="str">
        <f>IF(+表紙!$B$3="フラットコンベア洗浄機",1,"-")</f>
        <v>-</v>
      </c>
      <c r="G28" s="10"/>
      <c r="H28" s="10"/>
      <c r="I28" s="541" t="s">
        <v>79</v>
      </c>
      <c r="J28" s="542"/>
      <c r="K28" s="542"/>
      <c r="L28" s="542"/>
      <c r="M28" s="109" t="str">
        <f>IF(+表紙!$B$3="フライトコンベア洗浄機",0.42,"-")</f>
        <v>-</v>
      </c>
      <c r="N28" s="10"/>
      <c r="O28" s="11"/>
    </row>
    <row r="29" spans="1:17" s="5" customFormat="1" ht="17.45" customHeight="1">
      <c r="A29" s="9"/>
      <c r="B29" s="10"/>
      <c r="C29" s="10"/>
      <c r="D29" s="10"/>
      <c r="E29" s="10"/>
      <c r="F29" s="10"/>
      <c r="G29" s="10"/>
      <c r="H29" s="10"/>
      <c r="I29" s="538" t="s">
        <v>80</v>
      </c>
      <c r="J29" s="539"/>
      <c r="K29" s="539"/>
      <c r="L29" s="539"/>
      <c r="M29" s="115" t="str">
        <f>IF(+表紙!$B$3="フライトコンベア洗浄機",1,"-")</f>
        <v>-</v>
      </c>
      <c r="N29" s="10"/>
      <c r="O29" s="11"/>
    </row>
    <row r="30" spans="1:17" s="5" customFormat="1" ht="3.75" customHeight="1">
      <c r="A30" s="9"/>
      <c r="C30" s="10"/>
      <c r="D30" s="10"/>
      <c r="E30" s="10"/>
      <c r="F30" s="10"/>
      <c r="G30" s="10"/>
      <c r="H30" s="10"/>
      <c r="I30" s="10"/>
      <c r="J30" s="274"/>
      <c r="K30" s="10"/>
      <c r="L30" s="10"/>
      <c r="M30" s="10"/>
      <c r="N30" s="10"/>
      <c r="O30" s="11"/>
    </row>
    <row r="31" spans="1:17" s="5" customFormat="1" ht="17.25" customHeight="1">
      <c r="A31" s="9"/>
      <c r="B31" s="1" t="s">
        <v>78</v>
      </c>
      <c r="C31" s="10"/>
      <c r="D31" s="10"/>
      <c r="E31" s="10"/>
      <c r="F31" s="10"/>
      <c r="G31" s="10"/>
      <c r="H31" s="10"/>
      <c r="I31" s="1" t="s">
        <v>78</v>
      </c>
      <c r="J31" s="274"/>
      <c r="K31" s="10"/>
      <c r="L31" s="10"/>
      <c r="M31" s="10"/>
      <c r="N31" s="10"/>
      <c r="O31" s="11"/>
    </row>
    <row r="32" spans="1:17" s="5" customFormat="1" ht="17.25" customHeight="1">
      <c r="A32" s="9"/>
      <c r="B32" s="1"/>
      <c r="C32" s="14" t="s">
        <v>66</v>
      </c>
      <c r="D32" s="276" t="str">
        <f>IF(+表紙!$B$3="フラットコンベア洗浄機",IF(F25&lt;&gt;"",ROUND((F25*1000*0.6)/((F26/2)^2*3.14),1),""),"-")</f>
        <v>-</v>
      </c>
      <c r="E32" s="24" t="s">
        <v>67</v>
      </c>
      <c r="F32" s="543" t="s">
        <v>16</v>
      </c>
      <c r="G32" s="543"/>
      <c r="H32" s="10"/>
      <c r="J32" s="14" t="s">
        <v>66</v>
      </c>
      <c r="K32" s="276" t="str">
        <f>IF(+表紙!$B$3="フライトコンベア洗浄機",IF(COUNTBLANK(M25:M26)=0,ROUND(INT(M25/M27)/(M26/1000),1),""),"-")</f>
        <v>-</v>
      </c>
      <c r="L32" s="24" t="s">
        <v>67</v>
      </c>
      <c r="M32" s="543" t="s">
        <v>16</v>
      </c>
      <c r="N32" s="543"/>
      <c r="O32" s="11"/>
    </row>
    <row r="33" spans="1:15" s="5" customFormat="1" ht="17.25" customHeight="1">
      <c r="A33" s="9"/>
      <c r="B33" s="1" t="s">
        <v>101</v>
      </c>
      <c r="C33" s="10"/>
      <c r="D33" s="10"/>
      <c r="E33" s="10"/>
      <c r="F33" s="10"/>
      <c r="G33" s="10"/>
      <c r="H33" s="10"/>
      <c r="I33" s="1" t="s">
        <v>101</v>
      </c>
      <c r="J33" s="274"/>
      <c r="K33" s="10"/>
      <c r="L33" s="10"/>
      <c r="M33" s="10"/>
      <c r="N33" s="10"/>
      <c r="O33" s="11"/>
    </row>
    <row r="34" spans="1:15" s="5" customFormat="1" ht="17.25" customHeight="1">
      <c r="A34" s="9"/>
      <c r="B34" s="1"/>
      <c r="C34" s="14" t="s">
        <v>69</v>
      </c>
      <c r="D34" s="3" t="str">
        <f>IF(+表紙!$B$3="フラットコンベア洗浄機",IF(表紙!$C$13&lt;&gt;"",ROUND(表紙!$C$13,2),""),"-")</f>
        <v>-</v>
      </c>
      <c r="E34" s="24" t="s">
        <v>68</v>
      </c>
      <c r="F34" s="543" t="s">
        <v>14</v>
      </c>
      <c r="G34" s="543"/>
      <c r="H34" s="10"/>
      <c r="I34" s="1"/>
      <c r="J34" s="14" t="s">
        <v>69</v>
      </c>
      <c r="K34" s="3" t="str">
        <f>IF(+表紙!$B$3="フライトコンベア洗浄機",IF(表紙!$C$13&lt;&gt;"",ROUND(表紙!$C$13,2),""),"-")</f>
        <v>-</v>
      </c>
      <c r="L34" s="24" t="s">
        <v>68</v>
      </c>
      <c r="M34" s="543" t="s">
        <v>14</v>
      </c>
      <c r="N34" s="543"/>
      <c r="O34" s="11"/>
    </row>
    <row r="35" spans="1:15" s="5" customFormat="1" ht="17.25" customHeight="1" thickBot="1">
      <c r="A35" s="9"/>
      <c r="B35" s="1" t="s">
        <v>124</v>
      </c>
      <c r="G35" s="10"/>
      <c r="H35" s="10"/>
      <c r="I35" s="1" t="s">
        <v>124</v>
      </c>
      <c r="J35" s="274"/>
      <c r="K35" s="36"/>
      <c r="L35" s="20"/>
      <c r="M35" s="20"/>
      <c r="N35" s="274"/>
      <c r="O35" s="11"/>
    </row>
    <row r="36" spans="1:15" s="5" customFormat="1" ht="30" customHeight="1" thickBot="1">
      <c r="A36" s="9"/>
      <c r="C36" s="61" t="s">
        <v>65</v>
      </c>
      <c r="D36" s="277" t="str">
        <f>IF(+表紙!$B$3="フラットコンベア洗浄機",IF(COUNT(D32,D34)=2,60*D32*D34,""),"-")</f>
        <v>-</v>
      </c>
      <c r="E36" s="24" t="s">
        <v>39</v>
      </c>
      <c r="F36" s="540" t="s">
        <v>81</v>
      </c>
      <c r="G36" s="540"/>
      <c r="H36" s="254"/>
      <c r="I36" s="254"/>
      <c r="J36" s="61" t="s">
        <v>65</v>
      </c>
      <c r="K36" s="278" t="str">
        <f>IF(+表紙!$B$3="フライトコンベア洗浄機",IF(COUNT(K32,K34)=2,60*K32*K34,""),"-")</f>
        <v>-</v>
      </c>
      <c r="L36" s="24" t="s">
        <v>39</v>
      </c>
      <c r="M36" s="540" t="s">
        <v>81</v>
      </c>
      <c r="N36" s="540"/>
      <c r="O36" s="11"/>
    </row>
    <row r="37" spans="1:15" s="5" customFormat="1" ht="12" customHeight="1">
      <c r="A37" s="9"/>
      <c r="C37" s="61"/>
      <c r="D37" s="279"/>
      <c r="E37" s="24"/>
      <c r="F37" s="260"/>
      <c r="G37" s="260"/>
      <c r="H37" s="254"/>
      <c r="I37" s="254"/>
      <c r="J37" s="61"/>
      <c r="K37" s="280"/>
      <c r="L37" s="24"/>
      <c r="M37" s="260"/>
      <c r="N37" s="260"/>
      <c r="O37" s="11"/>
    </row>
    <row r="38" spans="1:15" s="5" customFormat="1" ht="17.25" customHeight="1">
      <c r="A38" s="9"/>
      <c r="B38" s="546" t="s">
        <v>164</v>
      </c>
      <c r="C38" s="547"/>
      <c r="D38" s="547"/>
      <c r="E38" s="547"/>
      <c r="F38" s="548"/>
      <c r="G38" s="10"/>
      <c r="H38" s="10"/>
      <c r="I38" s="10"/>
      <c r="J38" s="274"/>
      <c r="K38" s="36"/>
      <c r="L38" s="20"/>
      <c r="M38" s="20"/>
      <c r="N38" s="274"/>
      <c r="O38" s="11"/>
    </row>
    <row r="39" spans="1:15" s="5" customFormat="1" ht="17.25" customHeight="1">
      <c r="A39" s="9"/>
      <c r="B39" s="544" t="s">
        <v>141</v>
      </c>
      <c r="C39" s="545"/>
      <c r="D39" s="545"/>
      <c r="E39" s="545"/>
      <c r="F39" s="183" t="str">
        <f>IF(+表紙!$C$12="ﾗｯｸｺﾝﾍﾞｱ洗浄機（専用食器籠）",IF(+表紙!H12&lt;&gt;"",+表紙!H12,""),IF(+表紙!$B$3="ラックコンベア洗浄機",500,"-"))</f>
        <v>-</v>
      </c>
      <c r="G39" s="10"/>
      <c r="H39" s="10"/>
      <c r="I39" s="10"/>
      <c r="J39" s="274"/>
      <c r="K39" s="36"/>
      <c r="L39" s="20"/>
      <c r="M39" s="20"/>
      <c r="N39" s="274"/>
      <c r="O39" s="11"/>
    </row>
    <row r="40" spans="1:15" s="5" customFormat="1" ht="15" customHeight="1">
      <c r="A40" s="9"/>
      <c r="B40" s="541" t="s">
        <v>83</v>
      </c>
      <c r="C40" s="542"/>
      <c r="D40" s="542"/>
      <c r="E40" s="542"/>
      <c r="F40" s="2" t="str">
        <f>IF(+表紙!$C$12="ﾗｯｸｺﾝﾍﾞｱ洗浄機（専用食器籠）",IF(+表紙!K12&lt;&gt;"",+表紙!K12,""),IF(+表紙!$B$3="ラックコンベア洗浄機",16,"-"))</f>
        <v>-</v>
      </c>
      <c r="G40" s="10"/>
      <c r="H40" s="10"/>
      <c r="I40" s="10"/>
      <c r="J40" s="274"/>
      <c r="K40" s="36"/>
      <c r="L40" s="20"/>
      <c r="M40" s="20"/>
      <c r="N40" s="274"/>
      <c r="O40" s="11"/>
    </row>
    <row r="41" spans="1:15" s="5" customFormat="1" ht="17.25" customHeight="1">
      <c r="A41" s="252"/>
      <c r="B41" s="541" t="s">
        <v>82</v>
      </c>
      <c r="C41" s="542"/>
      <c r="D41" s="542"/>
      <c r="E41" s="542"/>
      <c r="F41" s="2" t="str">
        <f>IF(+表紙!$C$12="ﾗｯｸｺﾝﾍﾞｱ洗浄機（専用食器籠）",180,IF(+表紙!$B$3="ラックコンベア洗浄機",230,"-"))</f>
        <v>-</v>
      </c>
      <c r="G41" s="20"/>
      <c r="H41" s="20"/>
      <c r="I41" s="20"/>
      <c r="J41" s="51"/>
      <c r="K41" s="51"/>
      <c r="L41" s="51"/>
      <c r="M41" s="51"/>
      <c r="N41" s="51"/>
      <c r="O41" s="11"/>
    </row>
    <row r="42" spans="1:15" s="5" customFormat="1" ht="17.25" customHeight="1">
      <c r="A42" s="252"/>
      <c r="B42" s="541" t="s">
        <v>79</v>
      </c>
      <c r="C42" s="542"/>
      <c r="D42" s="542"/>
      <c r="E42" s="542"/>
      <c r="F42" s="109" t="str">
        <f>IF($F$41="-","-",IF($F$41=180,0.14,0.42))</f>
        <v>-</v>
      </c>
      <c r="G42" s="20"/>
      <c r="H42" s="20"/>
      <c r="I42" s="20"/>
      <c r="J42" s="14"/>
      <c r="K42" s="281"/>
      <c r="L42" s="24"/>
      <c r="M42" s="282"/>
      <c r="N42" s="282"/>
      <c r="O42" s="11"/>
    </row>
    <row r="43" spans="1:15" s="5" customFormat="1" ht="17.25" customHeight="1">
      <c r="A43" s="252"/>
      <c r="B43" s="538" t="s">
        <v>80</v>
      </c>
      <c r="C43" s="539"/>
      <c r="D43" s="539"/>
      <c r="E43" s="539"/>
      <c r="F43" s="184" t="str">
        <f>IF($F$41="-","-",IF($F$41=180,1.7,1))</f>
        <v>-</v>
      </c>
      <c r="G43" s="20"/>
      <c r="H43" s="20"/>
      <c r="I43" s="20"/>
      <c r="J43" s="14"/>
      <c r="K43" s="283"/>
      <c r="L43" s="24"/>
      <c r="M43" s="282"/>
      <c r="N43" s="282"/>
      <c r="O43" s="11"/>
    </row>
    <row r="44" spans="1:15" s="5" customFormat="1" ht="3.75" customHeight="1">
      <c r="A44" s="252"/>
      <c r="G44" s="20"/>
      <c r="H44" s="20"/>
      <c r="I44" s="20"/>
      <c r="J44" s="14"/>
      <c r="K44" s="284"/>
      <c r="L44" s="24"/>
      <c r="M44" s="282"/>
      <c r="N44" s="282"/>
      <c r="O44" s="11"/>
    </row>
    <row r="45" spans="1:15" s="5" customFormat="1" ht="16.5" customHeight="1">
      <c r="A45" s="252"/>
      <c r="B45" s="1" t="s">
        <v>78</v>
      </c>
      <c r="G45" s="12"/>
      <c r="H45" s="12"/>
      <c r="I45" s="12"/>
      <c r="J45" s="61"/>
      <c r="K45" s="280"/>
      <c r="L45" s="24"/>
      <c r="M45" s="254"/>
      <c r="N45" s="254"/>
      <c r="O45" s="11"/>
    </row>
    <row r="46" spans="1:15" s="5" customFormat="1" ht="16.5" customHeight="1">
      <c r="A46" s="252"/>
      <c r="B46" s="1"/>
      <c r="C46" s="14" t="s">
        <v>66</v>
      </c>
      <c r="D46" s="285" t="str">
        <f>IF(OR(+表紙!$B$3="ラックコンベア洗浄機",+表紙!$C$12="ﾗｯｸｺﾝﾍﾞｱ洗浄機（専用食器籠）"),IF(COUNT(F39,F40)=2,ROUND(1000/F39*F40,1),""),"-")</f>
        <v>-</v>
      </c>
      <c r="E46" s="24" t="s">
        <v>67</v>
      </c>
      <c r="F46" s="543" t="s">
        <v>16</v>
      </c>
      <c r="G46" s="543"/>
      <c r="H46" s="12"/>
      <c r="I46" s="12"/>
      <c r="J46" s="61"/>
      <c r="K46" s="280"/>
      <c r="L46" s="24"/>
      <c r="M46" s="257"/>
      <c r="N46" s="257"/>
      <c r="O46" s="11"/>
    </row>
    <row r="47" spans="1:15" s="5" customFormat="1" ht="16.5" customHeight="1">
      <c r="A47" s="252"/>
      <c r="B47" s="1" t="s">
        <v>102</v>
      </c>
      <c r="G47" s="20"/>
      <c r="H47" s="20"/>
      <c r="I47" s="20"/>
      <c r="J47" s="20"/>
      <c r="K47" s="14"/>
      <c r="L47" s="284"/>
      <c r="M47" s="20"/>
      <c r="N47" s="282"/>
      <c r="O47" s="11"/>
    </row>
    <row r="48" spans="1:15" ht="16.5" customHeight="1">
      <c r="A48" s="9"/>
      <c r="B48" s="1"/>
      <c r="C48" s="14" t="s">
        <v>69</v>
      </c>
      <c r="D48" s="3" t="str">
        <f>IF(OR(+表紙!$B$3="ラックコンベア洗浄機",+表紙!$C$12="ﾗｯｸｺﾝﾍﾞｱ洗浄機（専用食器籠）"),IF(表紙!$C$13&lt;&gt;"",ROUND(表紙!$C$13,2),""),"-")</f>
        <v>-</v>
      </c>
      <c r="E48" s="24" t="s">
        <v>68</v>
      </c>
      <c r="F48" s="543" t="s">
        <v>14</v>
      </c>
      <c r="G48" s="543"/>
      <c r="H48" s="10"/>
      <c r="I48" s="10"/>
      <c r="J48" s="10"/>
      <c r="K48" s="10"/>
      <c r="L48" s="10"/>
      <c r="M48" s="10"/>
      <c r="N48" s="10"/>
      <c r="O48" s="11"/>
    </row>
    <row r="49" spans="1:15" ht="17.25" customHeight="1" thickBot="1">
      <c r="A49" s="9"/>
      <c r="B49" s="1" t="s">
        <v>124</v>
      </c>
      <c r="C49" s="10"/>
      <c r="D49" s="10"/>
      <c r="E49" s="10"/>
      <c r="F49" s="10"/>
      <c r="G49" s="10"/>
      <c r="H49" s="10"/>
      <c r="I49" s="10"/>
      <c r="J49" s="286"/>
      <c r="K49" s="10"/>
      <c r="L49" s="10"/>
      <c r="M49" s="10"/>
      <c r="N49" s="10"/>
      <c r="O49" s="11"/>
    </row>
    <row r="50" spans="1:15" ht="30" customHeight="1" thickBot="1">
      <c r="A50" s="9"/>
      <c r="B50" s="10"/>
      <c r="C50" s="61" t="s">
        <v>65</v>
      </c>
      <c r="D50" s="278" t="str">
        <f>IF(OR(+表紙!$B$3="ラックコンベア洗浄機",+表紙!$C$12="ﾗｯｸｺﾝﾍﾞｱ洗浄機（専用食器籠）"),IF(COUNT(D46,D48)=2,INT(60*D46*D48),""),"-")</f>
        <v>-</v>
      </c>
      <c r="E50" s="24" t="s">
        <v>39</v>
      </c>
      <c r="F50" s="540" t="s">
        <v>81</v>
      </c>
      <c r="G50" s="540"/>
      <c r="H50" s="254"/>
      <c r="I50" s="254"/>
      <c r="J50" s="10"/>
      <c r="K50" s="10"/>
      <c r="L50" s="10"/>
      <c r="N50" s="10"/>
      <c r="O50" s="11"/>
    </row>
    <row r="51" spans="1:15" ht="18" customHeight="1" thickBot="1">
      <c r="A51" s="37"/>
      <c r="B51" s="63"/>
      <c r="C51" s="63"/>
      <c r="D51" s="63"/>
      <c r="E51" s="63"/>
      <c r="F51" s="63"/>
      <c r="G51" s="63"/>
      <c r="H51" s="63"/>
      <c r="I51" s="63"/>
      <c r="J51" s="63"/>
      <c r="K51" s="63"/>
      <c r="L51" s="63"/>
      <c r="M51" s="63"/>
      <c r="N51" s="63"/>
      <c r="O51" s="90"/>
    </row>
    <row r="52" spans="1:15" ht="11.25" customHeight="1">
      <c r="A52" s="10"/>
      <c r="B52" s="10"/>
      <c r="C52" s="10"/>
      <c r="D52" s="10"/>
      <c r="E52" s="10"/>
      <c r="F52" s="10"/>
      <c r="G52" s="10"/>
      <c r="H52" s="10"/>
      <c r="I52" s="10"/>
      <c r="J52" s="10"/>
      <c r="K52" s="10"/>
      <c r="L52" s="10"/>
      <c r="M52" s="10"/>
      <c r="N52" s="10"/>
      <c r="O52" s="10"/>
    </row>
    <row r="53" spans="1:15" ht="8.4499999999999993" customHeight="1">
      <c r="A53" s="10"/>
      <c r="B53" s="10"/>
      <c r="C53" s="10"/>
      <c r="D53" s="10"/>
      <c r="E53" s="10"/>
      <c r="F53" s="10"/>
      <c r="G53" s="10"/>
      <c r="H53" s="10"/>
      <c r="I53" s="10"/>
      <c r="J53" s="10"/>
      <c r="K53" s="10"/>
      <c r="L53" s="10"/>
      <c r="M53" s="10"/>
      <c r="N53" s="10"/>
      <c r="O53" s="10"/>
    </row>
    <row r="54" spans="1:15" ht="15" customHeight="1"/>
    <row r="55" spans="1:15" ht="15" customHeight="1"/>
    <row r="56" spans="1:15" s="35" customFormat="1" ht="15" customHeight="1">
      <c r="A56" s="4"/>
      <c r="B56" s="4"/>
      <c r="C56" s="4"/>
      <c r="D56" s="4"/>
      <c r="E56" s="4"/>
      <c r="F56" s="4"/>
      <c r="G56" s="4"/>
      <c r="H56" s="4"/>
      <c r="I56" s="4"/>
      <c r="J56" s="4"/>
      <c r="K56" s="4"/>
      <c r="L56" s="4"/>
      <c r="M56" s="4"/>
      <c r="N56" s="4"/>
      <c r="O56" s="4"/>
    </row>
    <row r="57" spans="1:15" s="10" customFormat="1" ht="15" customHeight="1">
      <c r="A57" s="4"/>
      <c r="B57" s="4"/>
      <c r="C57" s="4"/>
      <c r="D57" s="4"/>
      <c r="E57" s="4"/>
      <c r="F57" s="4"/>
      <c r="G57" s="4"/>
      <c r="H57" s="4"/>
      <c r="I57" s="4"/>
      <c r="J57" s="4"/>
      <c r="K57" s="4"/>
      <c r="L57" s="4"/>
      <c r="M57" s="4"/>
      <c r="N57" s="4"/>
      <c r="O57" s="4"/>
    </row>
    <row r="58" spans="1:15" s="35" customFormat="1">
      <c r="A58" s="4"/>
      <c r="B58" s="4"/>
      <c r="C58" s="4"/>
      <c r="D58" s="4"/>
      <c r="E58" s="4"/>
      <c r="F58" s="4"/>
      <c r="G58" s="4"/>
      <c r="H58" s="4"/>
      <c r="I58" s="4"/>
      <c r="J58" s="4"/>
      <c r="K58" s="4"/>
      <c r="L58" s="4"/>
      <c r="M58" s="4"/>
      <c r="N58" s="4"/>
      <c r="O58" s="4"/>
    </row>
  </sheetData>
  <sheetProtection password="89E8" sheet="1" objects="1" scenarios="1" selectLockedCells="1"/>
  <mergeCells count="35">
    <mergeCell ref="A2:O2"/>
    <mergeCell ref="B4:J4"/>
    <mergeCell ref="L4:O4"/>
    <mergeCell ref="B12:M14"/>
    <mergeCell ref="B6:M7"/>
    <mergeCell ref="B3:O3"/>
    <mergeCell ref="C9:M10"/>
    <mergeCell ref="B15:M17"/>
    <mergeCell ref="B26:E26"/>
    <mergeCell ref="B27:E27"/>
    <mergeCell ref="B28:E28"/>
    <mergeCell ref="I26:L26"/>
    <mergeCell ref="I27:L27"/>
    <mergeCell ref="I28:L28"/>
    <mergeCell ref="B24:F24"/>
    <mergeCell ref="I24:M24"/>
    <mergeCell ref="B25:E25"/>
    <mergeCell ref="B18:M22"/>
    <mergeCell ref="I25:L25"/>
    <mergeCell ref="I29:L29"/>
    <mergeCell ref="M36:N36"/>
    <mergeCell ref="F50:G50"/>
    <mergeCell ref="B42:E42"/>
    <mergeCell ref="B41:E41"/>
    <mergeCell ref="B43:E43"/>
    <mergeCell ref="B40:E40"/>
    <mergeCell ref="F46:G46"/>
    <mergeCell ref="F48:G48"/>
    <mergeCell ref="F32:G32"/>
    <mergeCell ref="F34:G34"/>
    <mergeCell ref="B39:E39"/>
    <mergeCell ref="B38:F38"/>
    <mergeCell ref="F36:G36"/>
    <mergeCell ref="M32:N32"/>
    <mergeCell ref="M34:N34"/>
  </mergeCells>
  <phoneticPr fontId="3"/>
  <pageMargins left="0.78740157480314965" right="0.51181102362204722" top="0.78740157480314965" bottom="0.39370078740157483"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8"/>
  <sheetViews>
    <sheetView showGridLines="0" view="pageBreakPreview" topLeftCell="A53" zoomScaleNormal="100" zoomScaleSheetLayoutView="100" workbookViewId="0">
      <selection activeCell="C58" sqref="C58:D58"/>
    </sheetView>
  </sheetViews>
  <sheetFormatPr defaultRowHeight="13.5"/>
  <cols>
    <col min="1" max="1" width="9.5" style="4" customWidth="1"/>
    <col min="2" max="2" width="7.625" style="4" customWidth="1"/>
    <col min="3" max="3" width="11.5" style="4" customWidth="1"/>
    <col min="4" max="4" width="9.5" style="4" customWidth="1"/>
    <col min="5" max="5" width="9" style="4" customWidth="1"/>
    <col min="6" max="6" width="6.25" style="4" customWidth="1"/>
    <col min="7" max="7" width="3.875" style="4" customWidth="1"/>
    <col min="8" max="8" width="7.625" style="4" customWidth="1"/>
    <col min="9" max="9" width="7.875" style="4" customWidth="1"/>
    <col min="10" max="10" width="5.375" style="4" customWidth="1"/>
    <col min="11" max="11" width="5" style="4" customWidth="1"/>
    <col min="12" max="12" width="5.5" style="4" customWidth="1"/>
    <col min="13" max="13" width="6.75" style="4" customWidth="1"/>
    <col min="14" max="22" width="9" style="4" customWidth="1"/>
    <col min="23" max="16384" width="9" style="4"/>
  </cols>
  <sheetData>
    <row r="1" spans="1:22" ht="14.25" thickBot="1"/>
    <row r="2" spans="1:22" s="5" customFormat="1" ht="19.5" customHeight="1" thickBot="1">
      <c r="A2" s="513" t="str">
        <f>+表紙!A2</f>
        <v>業務用厨房熱機器等性能測定結果　【電気機器】</v>
      </c>
      <c r="B2" s="514"/>
      <c r="C2" s="514"/>
      <c r="D2" s="514"/>
      <c r="E2" s="514"/>
      <c r="F2" s="514"/>
      <c r="G2" s="514"/>
      <c r="H2" s="514"/>
      <c r="I2" s="514"/>
      <c r="J2" s="514"/>
      <c r="K2" s="514"/>
      <c r="L2" s="515"/>
    </row>
    <row r="3" spans="1:22" s="5" customFormat="1" ht="28.5" customHeight="1" thickTop="1">
      <c r="A3" s="6" t="s">
        <v>273</v>
      </c>
      <c r="B3" s="500" t="str">
        <f>+表紙!B3&amp;"　　（５．消費電力量）"</f>
        <v>ラックコンベア洗浄機、フライトコンベア洗浄機、フラットコンベア洗浄機(選択してください)　　（５．消費電力量）</v>
      </c>
      <c r="C3" s="501"/>
      <c r="D3" s="501"/>
      <c r="E3" s="501"/>
      <c r="F3" s="501"/>
      <c r="G3" s="501"/>
      <c r="H3" s="501"/>
      <c r="I3" s="501"/>
      <c r="J3" s="501"/>
      <c r="K3" s="501"/>
      <c r="L3" s="502"/>
    </row>
    <row r="4" spans="1:22" s="5" customFormat="1" ht="19.5" customHeight="1" thickBot="1">
      <c r="A4" s="7" t="s">
        <v>0</v>
      </c>
      <c r="B4" s="516" t="str">
        <f>IF(表紙!$B$6=0,"",表紙!$B$6)</f>
        <v/>
      </c>
      <c r="C4" s="491"/>
      <c r="D4" s="491"/>
      <c r="E4" s="491"/>
      <c r="F4" s="491"/>
      <c r="G4" s="517"/>
      <c r="H4" s="233" t="s">
        <v>1</v>
      </c>
      <c r="I4" s="516" t="str">
        <f>IF(表紙!$H$5=0,"",表紙!$H$5)</f>
        <v/>
      </c>
      <c r="J4" s="491"/>
      <c r="K4" s="491"/>
      <c r="L4" s="518"/>
      <c r="M4" s="10"/>
      <c r="N4" s="10"/>
    </row>
    <row r="5" spans="1:22" s="5" customFormat="1" ht="14.25" customHeight="1">
      <c r="A5" s="8" t="s">
        <v>34</v>
      </c>
      <c r="B5" s="361" t="s">
        <v>35</v>
      </c>
      <c r="C5" s="567"/>
      <c r="D5" s="567"/>
      <c r="E5" s="532" t="s">
        <v>40</v>
      </c>
      <c r="F5" s="564"/>
      <c r="G5" s="533"/>
      <c r="H5" s="295"/>
      <c r="I5" s="520" t="s">
        <v>29</v>
      </c>
      <c r="J5" s="304"/>
      <c r="K5" s="525" t="s">
        <v>63</v>
      </c>
      <c r="L5" s="297"/>
    </row>
    <row r="6" spans="1:22" s="5" customFormat="1" ht="14.25" customHeight="1" thickBot="1">
      <c r="A6" s="7" t="s">
        <v>36</v>
      </c>
      <c r="B6" s="566"/>
      <c r="C6" s="527"/>
      <c r="D6" s="527"/>
      <c r="E6" s="534"/>
      <c r="F6" s="565"/>
      <c r="G6" s="535"/>
      <c r="H6" s="296"/>
      <c r="I6" s="380"/>
      <c r="J6" s="296"/>
      <c r="K6" s="526"/>
      <c r="L6" s="298"/>
    </row>
    <row r="7" spans="1:22" s="5" customFormat="1" ht="14.25" customHeight="1">
      <c r="A7" s="44"/>
      <c r="B7" s="200"/>
      <c r="C7" s="231"/>
      <c r="D7" s="231"/>
      <c r="E7" s="200"/>
      <c r="F7" s="200"/>
      <c r="G7" s="201"/>
      <c r="H7" s="211"/>
      <c r="I7" s="199"/>
      <c r="J7" s="211"/>
      <c r="K7" s="202"/>
      <c r="L7" s="212"/>
    </row>
    <row r="8" spans="1:22" s="5" customFormat="1" ht="21" customHeight="1">
      <c r="A8" s="44"/>
      <c r="B8" s="45" t="s">
        <v>114</v>
      </c>
      <c r="C8" s="10"/>
      <c r="D8" s="10"/>
      <c r="E8" s="10"/>
      <c r="F8" s="10"/>
      <c r="G8" s="10"/>
      <c r="H8" s="10"/>
      <c r="I8" s="46"/>
      <c r="J8" s="46"/>
      <c r="K8" s="46"/>
      <c r="L8" s="47"/>
      <c r="M8" s="10"/>
      <c r="N8" s="10"/>
    </row>
    <row r="9" spans="1:22" s="5" customFormat="1" ht="21.75" customHeight="1">
      <c r="A9" s="44"/>
      <c r="B9" s="10"/>
      <c r="C9" s="10"/>
      <c r="D9" s="10"/>
      <c r="E9" s="10"/>
      <c r="F9" s="10"/>
      <c r="G9" s="10"/>
      <c r="H9" s="10"/>
      <c r="I9" s="46"/>
      <c r="J9" s="46"/>
      <c r="K9" s="46"/>
      <c r="L9" s="47"/>
      <c r="M9" s="10"/>
      <c r="N9" s="10"/>
    </row>
    <row r="10" spans="1:22" s="5" customFormat="1" ht="14.25" customHeight="1">
      <c r="A10" s="44"/>
      <c r="B10" s="195"/>
      <c r="C10" s="195"/>
      <c r="D10" s="195"/>
      <c r="E10" s="195"/>
      <c r="F10" s="195"/>
      <c r="G10" s="195"/>
      <c r="H10" s="238" t="s">
        <v>239</v>
      </c>
      <c r="I10" s="238" t="s">
        <v>240</v>
      </c>
      <c r="J10" s="46"/>
      <c r="K10" s="46"/>
      <c r="L10" s="47"/>
      <c r="M10" s="10"/>
      <c r="N10" s="10"/>
    </row>
    <row r="11" spans="1:22" s="5" customFormat="1" ht="17.25" customHeight="1">
      <c r="A11" s="44"/>
      <c r="B11" s="568" t="s">
        <v>205</v>
      </c>
      <c r="C11" s="568"/>
      <c r="D11" s="568"/>
      <c r="E11" s="568"/>
      <c r="F11" s="569" t="s">
        <v>204</v>
      </c>
      <c r="G11" s="570"/>
      <c r="H11" s="228" t="str">
        <f>IF(+'3.立上り性能'!H51&lt;&gt;"",+'3.立上り性能'!H51,"")</f>
        <v/>
      </c>
      <c r="I11" s="228" t="str">
        <f>IF(+'3.立上り性能'!I51&lt;&gt;"",+'3.立上り性能'!I51,"")</f>
        <v/>
      </c>
      <c r="J11" s="256" t="s">
        <v>48</v>
      </c>
      <c r="K11" s="560" t="s">
        <v>30</v>
      </c>
      <c r="L11" s="561"/>
      <c r="M11" s="10"/>
      <c r="N11" s="267" t="s">
        <v>277</v>
      </c>
      <c r="P11" s="267"/>
    </row>
    <row r="12" spans="1:22" s="5" customFormat="1" ht="17.25" customHeight="1">
      <c r="A12" s="44"/>
      <c r="B12" s="267" t="str">
        <f>IF(表紙!$J$11="給水接続",$N$12,$N$11)</f>
        <v xml:space="preserve">      ： 給湯温度[℃]</v>
      </c>
      <c r="C12" s="46"/>
      <c r="D12" s="46"/>
      <c r="E12" s="46"/>
      <c r="F12" s="46"/>
      <c r="G12" s="46"/>
      <c r="H12" s="36" t="s">
        <v>280</v>
      </c>
      <c r="I12" s="50" t="str">
        <f>IF('3.立上り性能'!I26&lt;&gt;"",'3.立上り性能'!I26,"")</f>
        <v/>
      </c>
      <c r="J12" s="15" t="s">
        <v>26</v>
      </c>
      <c r="K12" s="560" t="s">
        <v>16</v>
      </c>
      <c r="L12" s="561"/>
      <c r="M12" s="10"/>
      <c r="N12" s="267" t="s">
        <v>278</v>
      </c>
    </row>
    <row r="13" spans="1:22" s="5" customFormat="1" ht="17.25" customHeight="1">
      <c r="A13" s="9"/>
      <c r="B13" s="51" t="s">
        <v>96</v>
      </c>
      <c r="C13" s="10"/>
      <c r="D13" s="10"/>
      <c r="E13" s="10"/>
      <c r="F13" s="10"/>
      <c r="G13" s="10"/>
      <c r="H13" s="14" t="s">
        <v>107</v>
      </c>
      <c r="I13" s="50" t="str">
        <f>'3.立上り性能'!I25</f>
        <v/>
      </c>
      <c r="J13" s="15" t="s">
        <v>26</v>
      </c>
      <c r="K13" s="560" t="s">
        <v>16</v>
      </c>
      <c r="L13" s="561"/>
      <c r="N13" s="5" t="str">
        <f>IF(表紙!$J$11="給水接続","給水","給湯")</f>
        <v>給湯</v>
      </c>
      <c r="O13" s="5">
        <f>IF(表紙!$J$11="給水接続",15,60)</f>
        <v>60</v>
      </c>
    </row>
    <row r="14" spans="1:22" s="5" customFormat="1" ht="15" customHeight="1">
      <c r="A14" s="9"/>
      <c r="B14" s="576" t="s">
        <v>210</v>
      </c>
      <c r="C14" s="576"/>
      <c r="D14" s="576"/>
      <c r="E14" s="576"/>
      <c r="F14" s="576"/>
      <c r="G14" s="576"/>
      <c r="H14" s="576"/>
      <c r="I14" s="194"/>
      <c r="J14" s="15"/>
      <c r="K14" s="256"/>
      <c r="L14" s="255"/>
    </row>
    <row r="15" spans="1:22" s="5" customFormat="1" ht="17.25" customHeight="1">
      <c r="A15" s="44"/>
      <c r="B15" s="51" t="s">
        <v>208</v>
      </c>
      <c r="C15" s="203"/>
      <c r="D15" s="203"/>
      <c r="E15" s="203"/>
      <c r="F15" s="203"/>
      <c r="G15" s="203"/>
      <c r="H15" s="264" t="s">
        <v>206</v>
      </c>
      <c r="I15" s="19" t="str">
        <f>IF(OR(表紙!$C$14="1タンク式",表紙!$C$14="2タンク式"),表紙!F15,IF(表紙!$C$14="3タンク式",表紙!F16,""))</f>
        <v/>
      </c>
      <c r="J15" s="15" t="s">
        <v>104</v>
      </c>
      <c r="K15" s="560" t="s">
        <v>81</v>
      </c>
      <c r="L15" s="561"/>
      <c r="M15" s="10"/>
      <c r="N15" s="5" t="str">
        <f>IF(表紙!$J$11="給水接続","消費立給水","消費立給湯")</f>
        <v>消費立給湯</v>
      </c>
      <c r="Q15" s="504"/>
      <c r="R15" s="504"/>
      <c r="S15" s="504"/>
      <c r="T15" s="504"/>
      <c r="U15" s="504"/>
      <c r="V15" s="504"/>
    </row>
    <row r="16" spans="1:22" s="5" customFormat="1" ht="17.25" customHeight="1">
      <c r="A16" s="44"/>
      <c r="B16" s="51" t="s">
        <v>209</v>
      </c>
      <c r="C16" s="203"/>
      <c r="D16" s="203"/>
      <c r="E16" s="203"/>
      <c r="F16" s="203"/>
      <c r="G16" s="203"/>
      <c r="H16" s="264" t="s">
        <v>207</v>
      </c>
      <c r="I16" s="19" t="str">
        <f>IF(表紙!$C$14="選択してください","",IF(表紙!$C$14="1タンク式",0,IF(表紙!$C$14="2タンク式",表紙!F16,表紙!J15)))</f>
        <v/>
      </c>
      <c r="J16" s="15" t="s">
        <v>104</v>
      </c>
      <c r="K16" s="560" t="s">
        <v>81</v>
      </c>
      <c r="L16" s="561"/>
      <c r="M16" s="10"/>
      <c r="Q16" s="504"/>
      <c r="R16" s="504"/>
      <c r="S16" s="504"/>
      <c r="T16" s="504"/>
      <c r="U16" s="504"/>
      <c r="V16" s="504"/>
    </row>
    <row r="17" spans="1:22" s="5" customFormat="1" ht="17.25" customHeight="1">
      <c r="A17" s="44"/>
      <c r="B17" s="51" t="s">
        <v>103</v>
      </c>
      <c r="C17" s="203"/>
      <c r="D17" s="203"/>
      <c r="E17" s="203"/>
      <c r="F17" s="203"/>
      <c r="G17" s="203"/>
      <c r="H17" s="265" t="s">
        <v>60</v>
      </c>
      <c r="I17" s="19">
        <f>IF(表紙!H16="仕上げすすぎタンク",表紙!J16,0)</f>
        <v>0</v>
      </c>
      <c r="J17" s="15" t="s">
        <v>13</v>
      </c>
      <c r="K17" s="562" t="s">
        <v>81</v>
      </c>
      <c r="L17" s="563"/>
      <c r="M17" s="10"/>
      <c r="Q17" s="504"/>
      <c r="R17" s="504"/>
      <c r="S17" s="504"/>
      <c r="T17" s="504"/>
      <c r="U17" s="504"/>
      <c r="V17" s="504"/>
    </row>
    <row r="18" spans="1:22" s="5" customFormat="1" ht="15" customHeight="1">
      <c r="A18" s="9"/>
      <c r="B18" s="51" t="s">
        <v>257</v>
      </c>
      <c r="C18" s="203"/>
      <c r="D18" s="203"/>
      <c r="E18" s="203"/>
      <c r="F18" s="203"/>
      <c r="G18" s="203"/>
      <c r="H18" s="264" t="s">
        <v>93</v>
      </c>
      <c r="I18" s="229">
        <v>4.1900000000000004</v>
      </c>
      <c r="J18" s="15" t="s">
        <v>57</v>
      </c>
      <c r="K18" s="10"/>
      <c r="L18" s="11"/>
      <c r="Q18" s="504"/>
      <c r="R18" s="504"/>
      <c r="S18" s="504"/>
      <c r="T18" s="504"/>
      <c r="U18" s="504"/>
      <c r="V18" s="504"/>
    </row>
    <row r="19" spans="1:22" s="5" customFormat="1" ht="3.6" customHeight="1" thickBot="1">
      <c r="A19" s="9"/>
      <c r="B19" s="253"/>
      <c r="C19" s="253"/>
      <c r="D19" s="253"/>
      <c r="E19" s="253"/>
      <c r="F19" s="253"/>
      <c r="G19" s="253"/>
      <c r="H19" s="193"/>
      <c r="I19" s="196"/>
      <c r="J19" s="15"/>
      <c r="K19" s="10"/>
      <c r="L19" s="11"/>
    </row>
    <row r="20" spans="1:22" s="5" customFormat="1" ht="17.25" customHeight="1" thickBot="1">
      <c r="A20" s="9"/>
      <c r="B20" s="10" t="s">
        <v>288</v>
      </c>
      <c r="C20" s="10"/>
      <c r="D20" s="10"/>
      <c r="E20" s="10"/>
      <c r="F20" s="10"/>
      <c r="G20" s="14" t="s">
        <v>258</v>
      </c>
      <c r="H20" s="114" t="str">
        <f>IF(COUNT(H11,I12,I13,I15,I16,I17,I18)=7,H11+(I18/3600)*((I12-O13)*I15+(I12-O13)*I16+(I13-20)*I17),"")</f>
        <v/>
      </c>
      <c r="I20" s="114" t="str">
        <f>IF(COUNT(I11,I12,I13,I15,I16,I17,I18)=7,I11+(I18/3600)*((I12-O13)*I15+(I12-O13)*I16+(I13-20)*I17),"")</f>
        <v/>
      </c>
      <c r="J20" s="15" t="s">
        <v>98</v>
      </c>
      <c r="K20" s="543" t="s">
        <v>30</v>
      </c>
      <c r="L20" s="559"/>
    </row>
    <row r="21" spans="1:22" s="5" customFormat="1" ht="3.75" customHeight="1" thickBot="1">
      <c r="A21" s="9"/>
      <c r="B21" s="10"/>
      <c r="C21" s="10"/>
      <c r="D21" s="10"/>
      <c r="E21" s="10"/>
      <c r="F21" s="10"/>
      <c r="G21" s="10"/>
      <c r="H21" s="14"/>
      <c r="I21" s="52"/>
      <c r="J21" s="15"/>
      <c r="K21" s="10"/>
      <c r="L21" s="11"/>
    </row>
    <row r="22" spans="1:22" s="5" customFormat="1" ht="30" customHeight="1" thickBot="1">
      <c r="A22" s="9"/>
      <c r="B22" s="10"/>
      <c r="C22" s="10"/>
      <c r="D22" s="10"/>
      <c r="E22" s="10"/>
      <c r="F22" s="10"/>
      <c r="G22" s="10"/>
      <c r="H22" s="53" t="s">
        <v>259</v>
      </c>
      <c r="I22" s="54" t="str">
        <f>IF(COUNTBLANK(H20:I20)=0,(H20+I20)/2,"")</f>
        <v/>
      </c>
      <c r="J22" s="15" t="s">
        <v>98</v>
      </c>
      <c r="K22" s="543" t="s">
        <v>30</v>
      </c>
      <c r="L22" s="559"/>
    </row>
    <row r="23" spans="1:22" s="5" customFormat="1" ht="3.75" customHeight="1" thickBot="1">
      <c r="A23" s="9"/>
      <c r="B23" s="10"/>
      <c r="C23" s="10"/>
      <c r="D23" s="10"/>
      <c r="E23" s="10"/>
      <c r="F23" s="10"/>
      <c r="G23" s="10"/>
      <c r="H23" s="53"/>
      <c r="I23" s="113"/>
      <c r="J23" s="15"/>
      <c r="K23" s="257"/>
      <c r="L23" s="258"/>
    </row>
    <row r="24" spans="1:22" s="5" customFormat="1" ht="15" customHeight="1" thickBot="1">
      <c r="A24" s="9"/>
      <c r="B24" s="10"/>
      <c r="C24" s="10"/>
      <c r="D24" s="10"/>
      <c r="E24" s="10"/>
      <c r="F24" s="10"/>
      <c r="G24" s="10"/>
      <c r="H24" s="36" t="s">
        <v>75</v>
      </c>
      <c r="I24" s="60" t="str">
        <f>IF(I22&lt;&gt;"",ABS(H20-I20)/I22,"")</f>
        <v/>
      </c>
      <c r="J24" s="15"/>
      <c r="K24" s="257"/>
      <c r="L24" s="258"/>
    </row>
    <row r="25" spans="1:22" s="5" customFormat="1" ht="21" customHeight="1">
      <c r="A25" s="9"/>
      <c r="B25" s="30" t="s">
        <v>115</v>
      </c>
      <c r="C25" s="20"/>
      <c r="D25" s="10"/>
      <c r="E25" s="10"/>
      <c r="F25" s="10"/>
      <c r="G25" s="10"/>
      <c r="H25" s="14"/>
      <c r="I25" s="52"/>
      <c r="J25" s="10"/>
      <c r="K25" s="10"/>
      <c r="L25" s="11"/>
    </row>
    <row r="26" spans="1:22" s="5" customFormat="1" ht="16.5" customHeight="1">
      <c r="A26" s="9"/>
      <c r="B26" s="557" t="s">
        <v>289</v>
      </c>
      <c r="C26" s="557"/>
      <c r="D26" s="557"/>
      <c r="E26" s="557"/>
      <c r="F26" s="557"/>
      <c r="G26" s="557"/>
      <c r="H26" s="557"/>
      <c r="I26" s="557"/>
      <c r="J26" s="557"/>
      <c r="K26" s="557"/>
      <c r="L26" s="11"/>
      <c r="Q26" s="504"/>
      <c r="R26" s="504"/>
      <c r="S26" s="504"/>
    </row>
    <row r="27" spans="1:22" s="5" customFormat="1" ht="16.5" customHeight="1">
      <c r="A27" s="9"/>
      <c r="B27" s="557"/>
      <c r="C27" s="557"/>
      <c r="D27" s="557"/>
      <c r="E27" s="557"/>
      <c r="F27" s="557"/>
      <c r="G27" s="557"/>
      <c r="H27" s="557"/>
      <c r="I27" s="557"/>
      <c r="J27" s="557"/>
      <c r="K27" s="557"/>
      <c r="L27" s="11"/>
      <c r="Q27" s="504"/>
      <c r="R27" s="504"/>
      <c r="S27" s="504"/>
    </row>
    <row r="28" spans="1:22" s="5" customFormat="1" ht="15" customHeight="1">
      <c r="A28" s="9"/>
      <c r="B28" s="10"/>
      <c r="C28" s="10"/>
      <c r="D28" s="10"/>
      <c r="E28" s="10"/>
      <c r="F28" s="10"/>
      <c r="G28" s="10"/>
      <c r="H28" s="10"/>
      <c r="I28" s="10"/>
      <c r="J28" s="10"/>
      <c r="K28" s="10"/>
      <c r="L28" s="11"/>
      <c r="Q28" s="504"/>
      <c r="R28" s="504"/>
      <c r="S28" s="504"/>
    </row>
    <row r="29" spans="1:22" s="5" customFormat="1" ht="18" customHeight="1">
      <c r="A29" s="9"/>
      <c r="B29" s="10"/>
      <c r="C29" s="10"/>
      <c r="D29" s="20"/>
      <c r="E29" s="20"/>
      <c r="F29" s="20"/>
      <c r="G29" s="10"/>
      <c r="H29" s="238" t="s">
        <v>239</v>
      </c>
      <c r="I29" s="238" t="s">
        <v>240</v>
      </c>
      <c r="J29" s="10"/>
      <c r="K29" s="560"/>
      <c r="L29" s="561"/>
      <c r="Q29" s="504"/>
      <c r="R29" s="504"/>
      <c r="S29" s="504"/>
    </row>
    <row r="30" spans="1:22" s="5" customFormat="1" ht="17.45" customHeight="1">
      <c r="A30" s="9"/>
      <c r="B30" s="20" t="s">
        <v>150</v>
      </c>
      <c r="C30" s="10"/>
      <c r="D30" s="20"/>
      <c r="E30" s="20"/>
      <c r="F30" s="20"/>
      <c r="G30" s="14" t="s">
        <v>108</v>
      </c>
      <c r="H30" s="305"/>
      <c r="I30" s="305"/>
      <c r="J30" s="256" t="s">
        <v>11</v>
      </c>
      <c r="K30" s="560" t="s">
        <v>30</v>
      </c>
      <c r="L30" s="561"/>
    </row>
    <row r="31" spans="1:22" s="5" customFormat="1" ht="17.25" customHeight="1">
      <c r="A31" s="9"/>
      <c r="B31" s="20" t="s">
        <v>111</v>
      </c>
      <c r="C31" s="10"/>
      <c r="D31" s="20"/>
      <c r="E31" s="20"/>
      <c r="F31" s="20"/>
      <c r="G31" s="14" t="s">
        <v>109</v>
      </c>
      <c r="H31" s="306"/>
      <c r="I31" s="306"/>
      <c r="J31" s="256" t="s">
        <v>21</v>
      </c>
      <c r="K31" s="560" t="s">
        <v>14</v>
      </c>
      <c r="L31" s="561"/>
      <c r="N31" s="5" t="str">
        <f>IF(表紙!$J$11="給水接続","消費無処給水","消費無処給湯")</f>
        <v>消費無処給湯</v>
      </c>
    </row>
    <row r="32" spans="1:22" s="5" customFormat="1" ht="17.25" customHeight="1">
      <c r="A32" s="9"/>
      <c r="B32" s="267" t="str">
        <f>IF(表紙!$J$11="給水接続",$N$12,$N$11)</f>
        <v xml:space="preserve">      ： 給湯温度[℃]</v>
      </c>
      <c r="C32" s="46"/>
      <c r="D32" s="46"/>
      <c r="E32" s="46"/>
      <c r="F32" s="46"/>
      <c r="G32" s="36" t="s">
        <v>279</v>
      </c>
      <c r="H32" s="307"/>
      <c r="I32" s="307"/>
      <c r="J32" s="24" t="s">
        <v>26</v>
      </c>
      <c r="K32" s="560" t="s">
        <v>16</v>
      </c>
      <c r="L32" s="561"/>
    </row>
    <row r="33" spans="1:12" s="5" customFormat="1" ht="17.25" customHeight="1">
      <c r="A33" s="9"/>
      <c r="B33" s="20" t="s">
        <v>105</v>
      </c>
      <c r="C33" s="10"/>
      <c r="D33" s="20"/>
      <c r="E33" s="20"/>
      <c r="F33" s="20"/>
      <c r="G33" s="14" t="s">
        <v>110</v>
      </c>
      <c r="H33" s="55" t="str">
        <f>+'6.給湯量'!G16</f>
        <v/>
      </c>
      <c r="I33" s="55" t="str">
        <f>+'6.給湯量'!G16</f>
        <v/>
      </c>
      <c r="J33" s="256" t="s">
        <v>23</v>
      </c>
      <c r="K33" s="256" t="s">
        <v>81</v>
      </c>
      <c r="L33" s="11"/>
    </row>
    <row r="34" spans="1:12" s="5" customFormat="1" ht="15" customHeight="1">
      <c r="A34" s="9"/>
      <c r="B34" s="51" t="s">
        <v>290</v>
      </c>
      <c r="C34" s="203"/>
      <c r="D34" s="203"/>
      <c r="E34" s="203"/>
      <c r="F34" s="203"/>
      <c r="G34" s="203"/>
      <c r="H34" s="264" t="s">
        <v>93</v>
      </c>
      <c r="I34" s="229">
        <v>4.1900000000000004</v>
      </c>
      <c r="J34" s="15" t="s">
        <v>43</v>
      </c>
      <c r="K34" s="10"/>
      <c r="L34" s="11"/>
    </row>
    <row r="35" spans="1:12" s="5" customFormat="1" ht="3.75" customHeight="1" thickBot="1">
      <c r="A35" s="9"/>
      <c r="B35" s="20"/>
      <c r="C35" s="10"/>
      <c r="D35" s="20"/>
      <c r="E35" s="20"/>
      <c r="F35" s="20"/>
      <c r="G35" s="14"/>
      <c r="H35" s="56"/>
      <c r="I35" s="56"/>
      <c r="J35" s="256"/>
      <c r="K35" s="256"/>
      <c r="L35" s="11"/>
    </row>
    <row r="36" spans="1:12" s="5" customFormat="1" ht="17.25" customHeight="1" thickBot="1">
      <c r="A36" s="9"/>
      <c r="B36" s="10" t="s">
        <v>261</v>
      </c>
      <c r="C36" s="10"/>
      <c r="D36" s="20"/>
      <c r="E36" s="20"/>
      <c r="F36" s="20"/>
      <c r="G36" s="14" t="s">
        <v>262</v>
      </c>
      <c r="H36" s="57" t="str">
        <f>IF(COUNTBLANK(H30:H33)=0,H30*60/H31+((H32-O13)*H33*I34)/3600,"")</f>
        <v/>
      </c>
      <c r="I36" s="57" t="str">
        <f>IF(COUNTBLANK(I30:I33)=0,I30*60/I31+((I32-O13)*I33*I34)/3600,"")</f>
        <v/>
      </c>
      <c r="J36" s="58" t="s">
        <v>15</v>
      </c>
      <c r="K36" s="543" t="s">
        <v>30</v>
      </c>
      <c r="L36" s="559"/>
    </row>
    <row r="37" spans="1:12" s="5" customFormat="1" ht="15" customHeight="1" thickBot="1">
      <c r="A37" s="9"/>
      <c r="B37" s="558" t="s">
        <v>260</v>
      </c>
      <c r="C37" s="558"/>
      <c r="D37" s="558"/>
      <c r="E37" s="558"/>
      <c r="F37" s="558"/>
      <c r="G37" s="14"/>
      <c r="H37" s="56"/>
      <c r="I37" s="56"/>
      <c r="J37" s="256"/>
      <c r="K37" s="256"/>
      <c r="L37" s="11"/>
    </row>
    <row r="38" spans="1:12" s="5" customFormat="1" ht="30" customHeight="1" thickBot="1">
      <c r="A38" s="9"/>
      <c r="B38" s="20"/>
      <c r="C38" s="10"/>
      <c r="D38" s="20"/>
      <c r="E38" s="20"/>
      <c r="F38" s="20"/>
      <c r="G38" s="14"/>
      <c r="H38" s="14" t="s">
        <v>263</v>
      </c>
      <c r="I38" s="59" t="str">
        <f>IF(COUNTBLANK(H36:I36)=0,(H36+I36)/2,"")</f>
        <v/>
      </c>
      <c r="J38" s="58" t="s">
        <v>15</v>
      </c>
      <c r="K38" s="543" t="s">
        <v>30</v>
      </c>
      <c r="L38" s="559"/>
    </row>
    <row r="39" spans="1:12" s="5" customFormat="1" ht="3.75" customHeight="1" thickBot="1">
      <c r="A39" s="9"/>
      <c r="B39" s="10"/>
      <c r="C39" s="10"/>
      <c r="D39" s="10"/>
      <c r="E39" s="10"/>
      <c r="F39" s="10"/>
      <c r="G39" s="10"/>
      <c r="H39" s="10"/>
      <c r="I39" s="10"/>
      <c r="J39" s="10"/>
      <c r="K39" s="10"/>
      <c r="L39" s="11"/>
    </row>
    <row r="40" spans="1:12" s="5" customFormat="1" ht="15.75" customHeight="1" thickBot="1">
      <c r="A40" s="9"/>
      <c r="B40" s="10"/>
      <c r="C40" s="10"/>
      <c r="D40" s="51"/>
      <c r="E40" s="10"/>
      <c r="F40" s="10"/>
      <c r="G40" s="10"/>
      <c r="H40" s="36" t="s">
        <v>75</v>
      </c>
      <c r="I40" s="60" t="str">
        <f>IF(I38&lt;&gt;"",ABS(H36-I36)/I38,"")</f>
        <v/>
      </c>
      <c r="J40" s="58"/>
      <c r="K40" s="543"/>
      <c r="L40" s="559"/>
    </row>
    <row r="41" spans="1:12">
      <c r="A41" s="175"/>
      <c r="B41" s="35"/>
      <c r="C41" s="35"/>
      <c r="D41" s="35"/>
      <c r="E41" s="35"/>
      <c r="F41" s="35"/>
      <c r="G41" s="35"/>
      <c r="H41" s="35"/>
      <c r="I41" s="35"/>
      <c r="J41" s="35"/>
      <c r="K41" s="35"/>
      <c r="L41" s="232"/>
    </row>
    <row r="42" spans="1:12">
      <c r="A42" s="175"/>
      <c r="B42" s="35"/>
      <c r="C42" s="35"/>
      <c r="D42" s="35"/>
      <c r="E42" s="35"/>
      <c r="F42" s="35"/>
      <c r="G42" s="35"/>
      <c r="H42" s="35"/>
      <c r="I42" s="35"/>
      <c r="J42" s="35"/>
      <c r="K42" s="35"/>
      <c r="L42" s="232"/>
    </row>
    <row r="43" spans="1:12">
      <c r="A43" s="175"/>
      <c r="B43" s="35"/>
      <c r="C43" s="35"/>
      <c r="D43" s="35"/>
      <c r="E43" s="35"/>
      <c r="F43" s="35"/>
      <c r="G43" s="35"/>
      <c r="H43" s="35"/>
      <c r="I43" s="35"/>
      <c r="J43" s="35"/>
      <c r="K43" s="35"/>
      <c r="L43" s="232"/>
    </row>
    <row r="44" spans="1:12">
      <c r="A44" s="175"/>
      <c r="B44" s="35"/>
      <c r="C44" s="35"/>
      <c r="D44" s="35"/>
      <c r="E44" s="35"/>
      <c r="F44" s="35"/>
      <c r="G44" s="35"/>
      <c r="H44" s="35"/>
      <c r="I44" s="35"/>
      <c r="J44" s="35"/>
      <c r="K44" s="35"/>
      <c r="L44" s="232"/>
    </row>
    <row r="45" spans="1:12">
      <c r="A45" s="175"/>
      <c r="B45" s="35"/>
      <c r="C45" s="35"/>
      <c r="D45" s="35"/>
      <c r="E45" s="35"/>
      <c r="F45" s="35"/>
      <c r="G45" s="35"/>
      <c r="H45" s="35"/>
      <c r="I45" s="35"/>
      <c r="J45" s="35"/>
      <c r="K45" s="35"/>
      <c r="L45" s="232"/>
    </row>
    <row r="46" spans="1:12">
      <c r="A46" s="175"/>
      <c r="B46" s="35"/>
      <c r="C46" s="35"/>
      <c r="D46" s="35"/>
      <c r="E46" s="35"/>
      <c r="F46" s="35"/>
      <c r="G46" s="35"/>
      <c r="H46" s="35"/>
      <c r="I46" s="35"/>
      <c r="J46" s="35"/>
      <c r="K46" s="35"/>
      <c r="L46" s="232"/>
    </row>
    <row r="47" spans="1:12">
      <c r="A47" s="175"/>
      <c r="B47" s="35"/>
      <c r="C47" s="35"/>
      <c r="D47" s="35"/>
      <c r="E47" s="35"/>
      <c r="F47" s="35"/>
      <c r="G47" s="35"/>
      <c r="H47" s="35"/>
      <c r="I47" s="35"/>
      <c r="J47" s="35"/>
      <c r="K47" s="35"/>
      <c r="L47" s="232"/>
    </row>
    <row r="48" spans="1:12">
      <c r="A48" s="175"/>
      <c r="B48" s="35"/>
      <c r="C48" s="35"/>
      <c r="D48" s="35"/>
      <c r="E48" s="35"/>
      <c r="F48" s="35"/>
      <c r="G48" s="35"/>
      <c r="H48" s="35"/>
      <c r="I48" s="35"/>
      <c r="J48" s="35"/>
      <c r="K48" s="35"/>
      <c r="L48" s="232"/>
    </row>
    <row r="49" spans="1:17">
      <c r="A49" s="175"/>
      <c r="B49" s="35"/>
      <c r="C49" s="35"/>
      <c r="D49" s="35"/>
      <c r="E49" s="35"/>
      <c r="F49" s="35"/>
      <c r="G49" s="35"/>
      <c r="H49" s="35"/>
      <c r="I49" s="35"/>
      <c r="J49" s="35"/>
      <c r="K49" s="35"/>
      <c r="L49" s="232"/>
    </row>
    <row r="50" spans="1:17">
      <c r="A50" s="175"/>
      <c r="B50" s="35"/>
      <c r="C50" s="35"/>
      <c r="D50" s="35"/>
      <c r="E50" s="35"/>
      <c r="F50" s="35"/>
      <c r="G50" s="35"/>
      <c r="H50" s="35"/>
      <c r="I50" s="35"/>
      <c r="J50" s="35"/>
      <c r="K50" s="35"/>
      <c r="L50" s="232"/>
    </row>
    <row r="51" spans="1:17">
      <c r="A51" s="175"/>
      <c r="B51" s="35"/>
      <c r="C51" s="35"/>
      <c r="D51" s="35"/>
      <c r="E51" s="35"/>
      <c r="F51" s="35"/>
      <c r="G51" s="35"/>
      <c r="H51" s="35"/>
      <c r="I51" s="35"/>
      <c r="J51" s="35"/>
      <c r="K51" s="35"/>
      <c r="L51" s="232"/>
    </row>
    <row r="52" spans="1:17" s="5" customFormat="1" ht="13.5" customHeight="1" thickBot="1">
      <c r="A52" s="37"/>
      <c r="B52" s="63"/>
      <c r="C52" s="63"/>
      <c r="D52" s="63"/>
      <c r="E52" s="63"/>
      <c r="F52" s="63"/>
      <c r="G52" s="63"/>
      <c r="H52" s="64"/>
      <c r="I52" s="65"/>
      <c r="J52" s="66"/>
      <c r="K52" s="67"/>
      <c r="L52" s="68"/>
    </row>
    <row r="53" spans="1:17" s="10" customFormat="1" ht="9" customHeight="1">
      <c r="H53" s="14"/>
      <c r="I53" s="69"/>
      <c r="J53" s="58"/>
      <c r="K53" s="254"/>
      <c r="L53" s="16"/>
    </row>
    <row r="54" spans="1:17" s="10" customFormat="1" ht="8.4499999999999993" customHeight="1" thickBot="1">
      <c r="H54" s="14"/>
      <c r="I54" s="69"/>
      <c r="J54" s="58"/>
      <c r="K54" s="254"/>
      <c r="L54" s="16"/>
    </row>
    <row r="55" spans="1:17" s="5" customFormat="1" ht="19.5" customHeight="1" thickBot="1">
      <c r="A55" s="513" t="str">
        <f>+A2</f>
        <v>業務用厨房熱機器等性能測定結果　【電気機器】</v>
      </c>
      <c r="B55" s="514"/>
      <c r="C55" s="514"/>
      <c r="D55" s="514"/>
      <c r="E55" s="514"/>
      <c r="F55" s="514"/>
      <c r="G55" s="514"/>
      <c r="H55" s="514"/>
      <c r="I55" s="514"/>
      <c r="J55" s="514"/>
      <c r="K55" s="514"/>
      <c r="L55" s="515"/>
    </row>
    <row r="56" spans="1:17" s="5" customFormat="1" ht="28.5" customHeight="1" thickTop="1">
      <c r="A56" s="6" t="s">
        <v>273</v>
      </c>
      <c r="B56" s="500" t="str">
        <f>+B3</f>
        <v>ラックコンベア洗浄機、フライトコンベア洗浄機、フラットコンベア洗浄機(選択してください)　　（５．消費電力量）</v>
      </c>
      <c r="C56" s="501"/>
      <c r="D56" s="501"/>
      <c r="E56" s="501"/>
      <c r="F56" s="501"/>
      <c r="G56" s="501"/>
      <c r="H56" s="501"/>
      <c r="I56" s="501"/>
      <c r="J56" s="501"/>
      <c r="K56" s="501"/>
      <c r="L56" s="502"/>
    </row>
    <row r="57" spans="1:17" s="5" customFormat="1" ht="19.5" customHeight="1" thickBot="1">
      <c r="A57" s="7" t="s">
        <v>0</v>
      </c>
      <c r="B57" s="516" t="str">
        <f>IF(表紙!$B$6=0,"",表紙!$B$6)</f>
        <v/>
      </c>
      <c r="C57" s="491"/>
      <c r="D57" s="491"/>
      <c r="E57" s="491"/>
      <c r="F57" s="491"/>
      <c r="G57" s="517"/>
      <c r="H57" s="233" t="s">
        <v>1</v>
      </c>
      <c r="I57" s="516" t="str">
        <f>IF(表紙!$H$5=0,"",表紙!$H$5)</f>
        <v/>
      </c>
      <c r="J57" s="491"/>
      <c r="K57" s="491"/>
      <c r="L57" s="518"/>
      <c r="M57" s="10"/>
      <c r="N57" s="10"/>
    </row>
    <row r="58" spans="1:17" s="5" customFormat="1" ht="14.25" customHeight="1">
      <c r="A58" s="8" t="s">
        <v>34</v>
      </c>
      <c r="B58" s="361" t="s">
        <v>35</v>
      </c>
      <c r="C58" s="567"/>
      <c r="D58" s="567"/>
      <c r="E58" s="532" t="s">
        <v>40</v>
      </c>
      <c r="F58" s="564"/>
      <c r="G58" s="533"/>
      <c r="H58" s="295"/>
      <c r="I58" s="520" t="s">
        <v>29</v>
      </c>
      <c r="J58" s="295"/>
      <c r="K58" s="525" t="s">
        <v>63</v>
      </c>
      <c r="L58" s="297"/>
    </row>
    <row r="59" spans="1:17" s="5" customFormat="1" ht="14.25" customHeight="1" thickBot="1">
      <c r="A59" s="7" t="s">
        <v>36</v>
      </c>
      <c r="B59" s="566"/>
      <c r="C59" s="527"/>
      <c r="D59" s="527"/>
      <c r="E59" s="534"/>
      <c r="F59" s="565"/>
      <c r="G59" s="535"/>
      <c r="H59" s="296"/>
      <c r="I59" s="380"/>
      <c r="J59" s="296"/>
      <c r="K59" s="526"/>
      <c r="L59" s="298"/>
      <c r="N59" s="70"/>
      <c r="O59" s="70"/>
      <c r="P59" s="70"/>
      <c r="Q59" s="70"/>
    </row>
    <row r="60" spans="1:17" s="5" customFormat="1" ht="14.25" customHeight="1">
      <c r="A60" s="44"/>
      <c r="B60" s="48"/>
      <c r="C60" s="71"/>
      <c r="D60" s="71"/>
      <c r="E60" s="72"/>
      <c r="F60" s="72"/>
      <c r="G60" s="73"/>
      <c r="H60" s="74"/>
      <c r="I60" s="52"/>
      <c r="J60" s="74"/>
      <c r="K60" s="75"/>
      <c r="L60" s="76"/>
      <c r="N60" s="70"/>
      <c r="O60" s="70"/>
      <c r="P60" s="70"/>
      <c r="Q60" s="70"/>
    </row>
    <row r="61" spans="1:17" s="5" customFormat="1" ht="21" customHeight="1">
      <c r="A61" s="9"/>
      <c r="B61" s="30" t="s">
        <v>116</v>
      </c>
      <c r="C61" s="10"/>
      <c r="D61" s="10"/>
      <c r="E61" s="10"/>
      <c r="F61" s="10"/>
      <c r="G61" s="10"/>
      <c r="H61" s="10"/>
      <c r="I61" s="10"/>
      <c r="J61" s="10"/>
      <c r="K61" s="10"/>
      <c r="L61" s="11"/>
    </row>
    <row r="62" spans="1:17" s="5" customFormat="1" ht="15" customHeight="1">
      <c r="A62" s="186"/>
      <c r="B62" s="571" t="s">
        <v>291</v>
      </c>
      <c r="C62" s="571"/>
      <c r="D62" s="571"/>
      <c r="E62" s="571"/>
      <c r="F62" s="571"/>
      <c r="G62" s="571"/>
      <c r="H62" s="571"/>
      <c r="I62" s="571"/>
      <c r="J62" s="571"/>
      <c r="K62" s="571"/>
      <c r="L62" s="185"/>
    </row>
    <row r="63" spans="1:17" s="5" customFormat="1" ht="15" customHeight="1">
      <c r="A63" s="9"/>
      <c r="B63" s="571"/>
      <c r="C63" s="571"/>
      <c r="D63" s="571"/>
      <c r="E63" s="571"/>
      <c r="F63" s="571"/>
      <c r="G63" s="571"/>
      <c r="H63" s="571"/>
      <c r="I63" s="571"/>
      <c r="J63" s="571"/>
      <c r="K63" s="571"/>
      <c r="L63" s="11"/>
    </row>
    <row r="64" spans="1:17" s="5" customFormat="1" ht="15" customHeight="1">
      <c r="A64" s="9"/>
      <c r="B64" s="571"/>
      <c r="C64" s="571"/>
      <c r="D64" s="571"/>
      <c r="E64" s="571"/>
      <c r="F64" s="571"/>
      <c r="G64" s="571"/>
      <c r="H64" s="571"/>
      <c r="I64" s="571"/>
      <c r="J64" s="571"/>
      <c r="K64" s="571"/>
      <c r="L64" s="11"/>
    </row>
    <row r="65" spans="1:17" s="5" customFormat="1" ht="13.5" customHeight="1">
      <c r="A65" s="110"/>
      <c r="B65" s="10"/>
      <c r="C65" s="270"/>
      <c r="D65" s="10"/>
      <c r="E65" s="10"/>
      <c r="F65" s="10"/>
      <c r="G65" s="10"/>
      <c r="H65" s="10"/>
      <c r="I65" s="4"/>
      <c r="J65" s="10"/>
      <c r="K65" s="10"/>
      <c r="L65" s="11"/>
    </row>
    <row r="66" spans="1:17" s="5" customFormat="1" ht="12.75" customHeight="1">
      <c r="A66" s="9"/>
      <c r="C66" s="102"/>
      <c r="D66" s="102"/>
      <c r="E66" s="102"/>
      <c r="F66" s="102"/>
      <c r="G66" s="102"/>
      <c r="H66" s="10"/>
      <c r="I66" s="85"/>
      <c r="J66" s="10"/>
      <c r="K66" s="540"/>
      <c r="L66" s="575"/>
    </row>
    <row r="67" spans="1:17" s="5" customFormat="1" ht="17.25" customHeight="1">
      <c r="A67" s="9"/>
      <c r="B67" s="103" t="s">
        <v>125</v>
      </c>
      <c r="C67" s="10"/>
      <c r="D67" s="10"/>
      <c r="E67" s="10"/>
      <c r="F67" s="10"/>
      <c r="G67" s="10"/>
      <c r="H67" s="61" t="s">
        <v>112</v>
      </c>
      <c r="I67" s="62" t="str">
        <f>+表紙!H27</f>
        <v/>
      </c>
      <c r="J67" s="256" t="s">
        <v>39</v>
      </c>
      <c r="K67" s="256" t="s">
        <v>81</v>
      </c>
      <c r="L67" s="11"/>
    </row>
    <row r="68" spans="1:17" s="5" customFormat="1" ht="17.25" customHeight="1">
      <c r="A68" s="9"/>
      <c r="B68" s="103" t="s">
        <v>211</v>
      </c>
      <c r="C68" s="10"/>
      <c r="D68" s="10"/>
      <c r="E68" s="10"/>
      <c r="F68" s="10"/>
      <c r="G68" s="10"/>
      <c r="H68" s="61" t="s">
        <v>147</v>
      </c>
      <c r="I68" s="111">
        <f>IF(表紙!J14="冷水仕上げすすぎ方式",30,45)</f>
        <v>45</v>
      </c>
      <c r="J68" s="24" t="s">
        <v>26</v>
      </c>
      <c r="K68" s="256"/>
      <c r="L68" s="11"/>
    </row>
    <row r="69" spans="1:17" s="5" customFormat="1" ht="17.25" customHeight="1">
      <c r="A69" s="9"/>
      <c r="B69" s="103" t="s">
        <v>226</v>
      </c>
      <c r="C69" s="10"/>
      <c r="D69" s="10"/>
      <c r="E69" s="10"/>
      <c r="F69" s="10"/>
      <c r="G69" s="10"/>
      <c r="H69" s="61"/>
      <c r="I69" s="116"/>
      <c r="J69" s="24"/>
      <c r="K69" s="256"/>
      <c r="L69" s="11"/>
    </row>
    <row r="70" spans="1:17" s="5" customFormat="1" ht="15" customHeight="1">
      <c r="A70" s="9"/>
      <c r="B70" s="117" t="s">
        <v>223</v>
      </c>
      <c r="C70" s="10"/>
      <c r="D70" s="10"/>
      <c r="E70" s="10"/>
      <c r="F70" s="10"/>
      <c r="G70" s="10"/>
      <c r="H70" s="61"/>
      <c r="I70" s="116"/>
      <c r="J70" s="24"/>
      <c r="K70" s="256"/>
      <c r="L70" s="11"/>
    </row>
    <row r="71" spans="1:17" s="5" customFormat="1" ht="17.25" customHeight="1">
      <c r="A71" s="110"/>
      <c r="B71" s="408" t="s">
        <v>202</v>
      </c>
      <c r="C71" s="408"/>
      <c r="D71" s="408"/>
      <c r="E71" s="408"/>
      <c r="F71" s="408"/>
      <c r="G71" s="408"/>
      <c r="H71" s="14" t="s">
        <v>203</v>
      </c>
      <c r="I71" s="15" t="str">
        <f>IF(+表紙!B3="フラットコンベア洗浄機",0.26,IF(+表紙!B3="フライトコンベア洗浄機",0.42,IF(+表紙!C12="ﾗｯｸｺﾝﾍﾞｱ洗浄機（専用食器籠）",0.14,IF(+表紙!B3="ラックコンベア洗浄機",0.42,""))))</f>
        <v/>
      </c>
      <c r="J71" s="256" t="s">
        <v>106</v>
      </c>
      <c r="K71" s="540"/>
      <c r="L71" s="575"/>
    </row>
    <row r="72" spans="1:17" s="5" customFormat="1" ht="17.25" customHeight="1">
      <c r="A72" s="9"/>
      <c r="B72" s="20" t="s">
        <v>148</v>
      </c>
      <c r="C72" s="10"/>
      <c r="D72" s="20"/>
      <c r="E72" s="20"/>
      <c r="F72" s="20"/>
      <c r="G72" s="20"/>
      <c r="H72" s="14" t="s">
        <v>94</v>
      </c>
      <c r="I72" s="162" t="str">
        <f>IF(+表紙!B3="フラットコンベア洗浄機",1,IF(+表紙!B3="フライトコンベア洗浄機",1,IF(+表紙!C12="ﾗｯｸｺﾝﾍﾞｱ洗浄機（専用食器籠）",1.7,IF(+表紙!B3="ラックコンベア洗浄機",1,""))))</f>
        <v/>
      </c>
      <c r="J72" s="259" t="s">
        <v>43</v>
      </c>
      <c r="K72" s="10"/>
      <c r="L72" s="11"/>
    </row>
    <row r="73" spans="1:17" s="5" customFormat="1" ht="7.5" customHeight="1" thickBot="1">
      <c r="A73" s="9"/>
      <c r="B73" s="10"/>
      <c r="C73" s="10"/>
      <c r="D73" s="10"/>
      <c r="E73" s="10"/>
      <c r="F73" s="10"/>
      <c r="G73" s="10"/>
      <c r="H73" s="10"/>
      <c r="I73" s="10"/>
      <c r="J73" s="10"/>
      <c r="K73" s="10"/>
      <c r="L73" s="11"/>
    </row>
    <row r="74" spans="1:17" s="5" customFormat="1" ht="29.25" customHeight="1" thickBot="1">
      <c r="A74" s="9"/>
      <c r="B74" s="10" t="s">
        <v>264</v>
      </c>
      <c r="C74" s="10"/>
      <c r="D74" s="10"/>
      <c r="E74" s="10"/>
      <c r="F74" s="10"/>
      <c r="G74" s="10"/>
      <c r="H74" s="14" t="s">
        <v>265</v>
      </c>
      <c r="I74" s="54" t="str">
        <f>IF(COUNT(I38,I67,I68,I71,I72)=5,I38+I72*I68*I71*I67/3600,"")</f>
        <v/>
      </c>
      <c r="J74" s="58" t="s">
        <v>42</v>
      </c>
      <c r="K74" s="572" t="s">
        <v>30</v>
      </c>
      <c r="L74" s="561"/>
    </row>
    <row r="75" spans="1:17" s="5" customFormat="1" ht="7.5" customHeight="1">
      <c r="A75" s="44"/>
      <c r="B75" s="48"/>
      <c r="C75" s="71"/>
      <c r="D75" s="71"/>
      <c r="E75" s="72"/>
      <c r="F75" s="72"/>
      <c r="G75" s="73"/>
      <c r="H75" s="74"/>
      <c r="I75" s="52"/>
      <c r="J75" s="74"/>
      <c r="K75" s="75"/>
      <c r="L75" s="76"/>
      <c r="N75" s="70"/>
      <c r="O75" s="70"/>
      <c r="P75" s="70"/>
      <c r="Q75" s="70"/>
    </row>
    <row r="76" spans="1:17" s="5" customFormat="1" ht="22.5" customHeight="1">
      <c r="A76" s="9"/>
      <c r="B76" s="230" t="s">
        <v>117</v>
      </c>
      <c r="C76" s="10"/>
      <c r="D76" s="10"/>
      <c r="E76" s="10"/>
      <c r="F76" s="10"/>
      <c r="G76" s="10"/>
      <c r="H76" s="10"/>
      <c r="I76" s="10"/>
      <c r="J76" s="10"/>
      <c r="K76" s="10"/>
      <c r="L76" s="11"/>
      <c r="N76" s="70"/>
      <c r="O76" s="70"/>
      <c r="P76" s="70"/>
      <c r="Q76" s="70"/>
    </row>
    <row r="77" spans="1:17" s="5" customFormat="1" ht="12.75" customHeight="1">
      <c r="A77" s="9"/>
      <c r="B77" s="10"/>
      <c r="C77" s="10"/>
      <c r="D77" s="10"/>
      <c r="E77" s="10"/>
      <c r="F77" s="10"/>
      <c r="G77" s="10"/>
      <c r="H77" s="10"/>
      <c r="I77" s="10"/>
      <c r="J77" s="10"/>
      <c r="K77" s="10"/>
      <c r="L77" s="11"/>
      <c r="N77" s="70"/>
      <c r="O77" s="77"/>
      <c r="P77" s="77"/>
      <c r="Q77" s="70"/>
    </row>
    <row r="78" spans="1:17" s="5" customFormat="1" ht="7.5" customHeight="1">
      <c r="A78" s="9"/>
      <c r="B78" s="10"/>
      <c r="C78" s="10"/>
      <c r="D78" s="10"/>
      <c r="E78" s="10"/>
      <c r="F78" s="10"/>
      <c r="G78" s="10"/>
      <c r="H78" s="10"/>
      <c r="I78" s="10"/>
      <c r="J78" s="10"/>
      <c r="K78" s="10"/>
      <c r="L78" s="11"/>
      <c r="N78" s="70"/>
      <c r="O78" s="78"/>
      <c r="P78" s="79"/>
      <c r="Q78" s="80"/>
    </row>
    <row r="79" spans="1:17" s="5" customFormat="1" ht="12.75" customHeight="1">
      <c r="A79" s="9"/>
      <c r="B79" s="10"/>
      <c r="C79" s="10"/>
      <c r="D79" s="10"/>
      <c r="E79" s="10"/>
      <c r="F79" s="10"/>
      <c r="G79" s="10"/>
      <c r="H79" s="238" t="s">
        <v>239</v>
      </c>
      <c r="I79" s="238" t="s">
        <v>240</v>
      </c>
      <c r="J79" s="10"/>
      <c r="K79" s="10"/>
      <c r="L79" s="11"/>
      <c r="N79" s="70"/>
      <c r="O79" s="78"/>
      <c r="P79" s="79"/>
      <c r="Q79" s="80"/>
    </row>
    <row r="80" spans="1:17" s="5" customFormat="1" ht="17.25" customHeight="1">
      <c r="A80" s="9"/>
      <c r="B80" s="20" t="s">
        <v>90</v>
      </c>
      <c r="C80" s="10"/>
      <c r="D80" s="20"/>
      <c r="E80" s="20"/>
      <c r="F80" s="20"/>
      <c r="G80" s="14" t="s">
        <v>62</v>
      </c>
      <c r="H80" s="305"/>
      <c r="I80" s="305"/>
      <c r="J80" s="256" t="s">
        <v>11</v>
      </c>
      <c r="K80" s="573" t="s">
        <v>30</v>
      </c>
      <c r="L80" s="574"/>
      <c r="N80" s="70"/>
      <c r="O80" s="78"/>
      <c r="P80" s="79"/>
      <c r="Q80" s="80"/>
    </row>
    <row r="81" spans="1:17" s="5" customFormat="1" ht="17.25" customHeight="1">
      <c r="A81" s="9"/>
      <c r="B81" s="20" t="s">
        <v>119</v>
      </c>
      <c r="C81" s="10"/>
      <c r="D81" s="20"/>
      <c r="E81" s="20"/>
      <c r="F81" s="20"/>
      <c r="G81" s="14" t="s">
        <v>61</v>
      </c>
      <c r="H81" s="308"/>
      <c r="I81" s="308"/>
      <c r="J81" s="256" t="s">
        <v>21</v>
      </c>
      <c r="K81" s="560" t="s">
        <v>14</v>
      </c>
      <c r="L81" s="561"/>
      <c r="N81" s="70"/>
      <c r="O81" s="78"/>
      <c r="P81" s="79"/>
      <c r="Q81" s="80"/>
    </row>
    <row r="82" spans="1:17" s="5" customFormat="1" ht="7.5" customHeight="1" thickBot="1">
      <c r="A82" s="9"/>
      <c r="B82" s="20"/>
      <c r="C82" s="10"/>
      <c r="D82" s="20"/>
      <c r="E82" s="20"/>
      <c r="F82" s="20"/>
      <c r="G82" s="14"/>
      <c r="H82" s="81"/>
      <c r="I82" s="81"/>
      <c r="J82" s="256"/>
      <c r="K82" s="256"/>
      <c r="L82" s="255"/>
      <c r="N82" s="70"/>
      <c r="O82" s="78"/>
      <c r="P82" s="79"/>
      <c r="Q82" s="80"/>
    </row>
    <row r="83" spans="1:17" s="5" customFormat="1" ht="17.25" customHeight="1" thickBot="1">
      <c r="A83" s="9"/>
      <c r="B83" s="10" t="s">
        <v>230</v>
      </c>
      <c r="C83" s="10"/>
      <c r="D83" s="20"/>
      <c r="E83" s="20"/>
      <c r="F83" s="20"/>
      <c r="G83" s="14" t="s">
        <v>231</v>
      </c>
      <c r="H83" s="82" t="str">
        <f>IF(COUNTBLANK(H80:H81)=0,H80*60/H81,"")</f>
        <v/>
      </c>
      <c r="I83" s="82" t="str">
        <f>IF(COUNTBLANK(I80:I81)=0,I80*60/I81,"")</f>
        <v/>
      </c>
      <c r="J83" s="58" t="s">
        <v>15</v>
      </c>
      <c r="K83" s="572" t="s">
        <v>30</v>
      </c>
      <c r="L83" s="561"/>
      <c r="N83" s="70"/>
      <c r="O83" s="78"/>
      <c r="P83" s="79"/>
      <c r="Q83" s="80"/>
    </row>
    <row r="84" spans="1:17" s="5" customFormat="1" ht="7.5" customHeight="1" thickBot="1">
      <c r="A84" s="9"/>
      <c r="B84" s="20"/>
      <c r="C84" s="10"/>
      <c r="D84" s="20"/>
      <c r="E84" s="20"/>
      <c r="F84" s="20"/>
      <c r="G84" s="14"/>
      <c r="H84" s="81"/>
      <c r="I84" s="81"/>
      <c r="J84" s="256"/>
      <c r="K84" s="256"/>
      <c r="L84" s="255"/>
      <c r="N84" s="70"/>
      <c r="O84" s="78"/>
      <c r="P84" s="79"/>
      <c r="Q84" s="80"/>
    </row>
    <row r="85" spans="1:17" s="5" customFormat="1" ht="33.75" customHeight="1" thickBot="1">
      <c r="A85" s="9"/>
      <c r="B85" s="20"/>
      <c r="C85" s="10"/>
      <c r="D85" s="20"/>
      <c r="E85" s="20"/>
      <c r="F85" s="20"/>
      <c r="G85" s="14"/>
      <c r="H85" s="14" t="s">
        <v>232</v>
      </c>
      <c r="I85" s="59" t="str">
        <f>IF(COUNTBLANK(H83:I83)=0,(H83+I83)/2,"")</f>
        <v/>
      </c>
      <c r="J85" s="58" t="s">
        <v>15</v>
      </c>
      <c r="K85" s="572" t="s">
        <v>30</v>
      </c>
      <c r="L85" s="561"/>
      <c r="N85" s="70"/>
      <c r="O85" s="78"/>
      <c r="P85" s="79"/>
      <c r="Q85" s="80"/>
    </row>
    <row r="86" spans="1:17" s="5" customFormat="1" ht="7.5" customHeight="1" thickBot="1">
      <c r="A86" s="9"/>
      <c r="B86" s="20"/>
      <c r="C86" s="10"/>
      <c r="D86" s="20"/>
      <c r="E86" s="20"/>
      <c r="F86" s="20"/>
      <c r="G86" s="14"/>
      <c r="H86" s="14"/>
      <c r="I86" s="81"/>
      <c r="J86" s="58"/>
      <c r="K86" s="254"/>
      <c r="L86" s="255"/>
      <c r="N86" s="70"/>
      <c r="O86" s="78"/>
      <c r="P86" s="79"/>
      <c r="Q86" s="80"/>
    </row>
    <row r="87" spans="1:17" s="5" customFormat="1" ht="15" customHeight="1" thickBot="1">
      <c r="A87" s="9"/>
      <c r="B87" s="20"/>
      <c r="C87" s="10"/>
      <c r="D87" s="20"/>
      <c r="E87" s="20"/>
      <c r="F87" s="20"/>
      <c r="G87" s="14"/>
      <c r="H87" s="83" t="s">
        <v>75</v>
      </c>
      <c r="I87" s="60" t="str">
        <f>IF(I85&lt;&gt;"",ABS(H83-I83)/I85,"")</f>
        <v/>
      </c>
      <c r="J87" s="58"/>
      <c r="K87" s="254"/>
      <c r="L87" s="255"/>
      <c r="N87" s="70"/>
      <c r="O87" s="78"/>
      <c r="P87" s="79"/>
      <c r="Q87" s="80"/>
    </row>
    <row r="88" spans="1:17" s="5" customFormat="1" ht="22.5" customHeight="1">
      <c r="A88" s="9"/>
      <c r="B88" s="30" t="s">
        <v>118</v>
      </c>
      <c r="C88" s="10"/>
      <c r="D88" s="10"/>
      <c r="E88" s="10"/>
      <c r="F88" s="10"/>
      <c r="G88" s="10"/>
      <c r="H88" s="10"/>
      <c r="I88" s="10"/>
      <c r="J88" s="10"/>
      <c r="K88" s="15"/>
      <c r="L88" s="84"/>
      <c r="N88" s="70"/>
      <c r="O88" s="78"/>
      <c r="P88" s="79"/>
      <c r="Q88" s="80"/>
    </row>
    <row r="89" spans="1:17" s="5" customFormat="1" ht="17.25" customHeight="1">
      <c r="A89" s="9"/>
      <c r="B89" s="10"/>
      <c r="C89" s="10" t="s">
        <v>227</v>
      </c>
      <c r="D89" s="10"/>
      <c r="E89" s="10"/>
      <c r="F89" s="10"/>
      <c r="G89" s="10"/>
      <c r="H89" s="10"/>
      <c r="I89" s="10"/>
      <c r="J89" s="10"/>
      <c r="K89" s="15"/>
      <c r="L89" s="84"/>
      <c r="N89" s="70"/>
      <c r="O89" s="78"/>
      <c r="P89" s="79"/>
      <c r="Q89" s="80"/>
    </row>
    <row r="90" spans="1:17" s="5" customFormat="1" ht="17.25" customHeight="1">
      <c r="A90" s="9"/>
      <c r="B90" s="10"/>
      <c r="C90" s="85"/>
      <c r="D90" s="10"/>
      <c r="E90" s="10"/>
      <c r="F90" s="10"/>
      <c r="G90" s="10"/>
      <c r="H90" s="10"/>
      <c r="I90" s="10"/>
      <c r="J90" s="10"/>
      <c r="K90" s="15"/>
      <c r="L90" s="84"/>
      <c r="N90" s="70"/>
      <c r="O90" s="77"/>
      <c r="P90" s="77"/>
      <c r="Q90" s="70"/>
    </row>
    <row r="91" spans="1:17" s="5" customFormat="1" ht="9.75" customHeight="1" thickBot="1">
      <c r="A91" s="9"/>
      <c r="B91" s="10"/>
      <c r="C91" s="10"/>
      <c r="D91" s="10"/>
      <c r="E91" s="10"/>
      <c r="F91" s="10"/>
      <c r="G91" s="10"/>
      <c r="H91" s="10"/>
      <c r="I91" s="10"/>
      <c r="J91" s="10"/>
      <c r="K91" s="15"/>
      <c r="L91" s="84"/>
      <c r="N91" s="70"/>
      <c r="O91" s="78"/>
      <c r="P91" s="79"/>
      <c r="Q91" s="80"/>
    </row>
    <row r="92" spans="1:17" s="5" customFormat="1" ht="17.25" customHeight="1" thickBot="1">
      <c r="A92" s="9"/>
      <c r="B92" s="10" t="s">
        <v>268</v>
      </c>
      <c r="C92" s="10"/>
      <c r="D92" s="10"/>
      <c r="E92" s="10"/>
      <c r="F92" s="10"/>
      <c r="G92" s="10"/>
      <c r="H92" s="14" t="s">
        <v>233</v>
      </c>
      <c r="I92" s="57" t="str">
        <f>+I22</f>
        <v/>
      </c>
      <c r="J92" s="15" t="s">
        <v>98</v>
      </c>
      <c r="K92" s="543" t="s">
        <v>30</v>
      </c>
      <c r="L92" s="559"/>
      <c r="N92" s="70"/>
      <c r="O92" s="78"/>
      <c r="P92" s="79"/>
      <c r="Q92" s="80"/>
    </row>
    <row r="93" spans="1:17" s="5" customFormat="1" ht="17.25" customHeight="1" thickBot="1">
      <c r="A93" s="9"/>
      <c r="B93" s="10" t="s">
        <v>269</v>
      </c>
      <c r="C93" s="10"/>
      <c r="D93" s="10"/>
      <c r="E93" s="10"/>
      <c r="F93" s="10"/>
      <c r="G93" s="10"/>
      <c r="H93" s="14" t="s">
        <v>234</v>
      </c>
      <c r="I93" s="57" t="str">
        <f>+I74</f>
        <v/>
      </c>
      <c r="J93" s="58" t="s">
        <v>15</v>
      </c>
      <c r="K93" s="572" t="s">
        <v>30</v>
      </c>
      <c r="L93" s="561"/>
      <c r="N93" s="70"/>
      <c r="O93" s="78"/>
      <c r="P93" s="79"/>
      <c r="Q93" s="80"/>
    </row>
    <row r="94" spans="1:17" s="5" customFormat="1" ht="17.25" customHeight="1" thickBot="1">
      <c r="A94" s="9"/>
      <c r="B94" s="10" t="s">
        <v>270</v>
      </c>
      <c r="C94" s="10"/>
      <c r="D94" s="10"/>
      <c r="E94" s="10"/>
      <c r="F94" s="10"/>
      <c r="G94" s="10"/>
      <c r="H94" s="14" t="s">
        <v>235</v>
      </c>
      <c r="I94" s="57" t="str">
        <f>+I36</f>
        <v/>
      </c>
      <c r="J94" s="58" t="s">
        <v>15</v>
      </c>
      <c r="K94" s="543" t="s">
        <v>30</v>
      </c>
      <c r="L94" s="559"/>
      <c r="N94" s="70"/>
      <c r="O94" s="78"/>
      <c r="P94" s="79"/>
      <c r="Q94" s="80"/>
    </row>
    <row r="95" spans="1:17" s="5" customFormat="1" ht="17.25" customHeight="1" thickBot="1">
      <c r="A95" s="9"/>
      <c r="B95" s="10" t="s">
        <v>237</v>
      </c>
      <c r="C95" s="10"/>
      <c r="D95" s="10"/>
      <c r="E95" s="10"/>
      <c r="F95" s="10"/>
      <c r="G95" s="10"/>
      <c r="H95" s="14" t="s">
        <v>236</v>
      </c>
      <c r="I95" s="82" t="str">
        <f>+I85</f>
        <v/>
      </c>
      <c r="J95" s="58" t="s">
        <v>15</v>
      </c>
      <c r="K95" s="572" t="s">
        <v>30</v>
      </c>
      <c r="L95" s="561"/>
      <c r="N95" s="70"/>
      <c r="O95" s="78"/>
      <c r="P95" s="79"/>
      <c r="Q95" s="80"/>
    </row>
    <row r="96" spans="1:17" s="5" customFormat="1" ht="17.25" customHeight="1">
      <c r="A96" s="9"/>
      <c r="B96" s="20" t="s">
        <v>292</v>
      </c>
      <c r="C96" s="10"/>
      <c r="D96" s="20"/>
      <c r="E96" s="20"/>
      <c r="F96" s="20"/>
      <c r="G96" s="20"/>
      <c r="H96" s="14" t="s">
        <v>113</v>
      </c>
      <c r="I96" s="309">
        <v>1</v>
      </c>
      <c r="J96" s="256" t="s">
        <v>49</v>
      </c>
      <c r="K96" s="15"/>
      <c r="L96" s="27"/>
      <c r="N96" s="70"/>
      <c r="O96" s="77"/>
      <c r="P96" s="77"/>
      <c r="Q96" s="70"/>
    </row>
    <row r="97" spans="1:17" s="5" customFormat="1" ht="17.25" customHeight="1">
      <c r="A97" s="9"/>
      <c r="B97" s="20" t="s">
        <v>293</v>
      </c>
      <c r="C97" s="10"/>
      <c r="D97" s="20"/>
      <c r="E97" s="20"/>
      <c r="F97" s="20"/>
      <c r="G97" s="20"/>
      <c r="H97" s="14" t="s">
        <v>95</v>
      </c>
      <c r="I97" s="310">
        <v>0.5</v>
      </c>
      <c r="J97" s="256" t="s">
        <v>49</v>
      </c>
      <c r="K97" s="15"/>
      <c r="L97" s="261"/>
      <c r="N97" s="70"/>
      <c r="O97" s="77"/>
      <c r="P97" s="77"/>
      <c r="Q97" s="70"/>
    </row>
    <row r="98" spans="1:17" s="5" customFormat="1" ht="17.25" customHeight="1">
      <c r="A98" s="9"/>
      <c r="B98" s="20" t="s">
        <v>294</v>
      </c>
      <c r="C98" s="10"/>
      <c r="D98" s="20"/>
      <c r="E98" s="20"/>
      <c r="F98" s="20"/>
      <c r="G98" s="13"/>
      <c r="H98" s="86" t="s">
        <v>201</v>
      </c>
      <c r="I98" s="310">
        <v>0.8</v>
      </c>
      <c r="J98" s="10"/>
      <c r="K98" s="15"/>
      <c r="L98" s="255"/>
      <c r="N98" s="70"/>
      <c r="O98" s="77"/>
      <c r="P98" s="77"/>
      <c r="Q98" s="70"/>
    </row>
    <row r="99" spans="1:17" s="5" customFormat="1" ht="20.100000000000001" customHeight="1">
      <c r="A99" s="44"/>
      <c r="B99" s="267" t="s">
        <v>199</v>
      </c>
      <c r="C99" s="267"/>
      <c r="D99" s="267"/>
      <c r="E99" s="267"/>
      <c r="F99" s="267"/>
      <c r="G99" s="10"/>
      <c r="H99" s="14" t="s">
        <v>200</v>
      </c>
      <c r="I99" s="309">
        <v>1</v>
      </c>
      <c r="J99" s="256" t="s">
        <v>136</v>
      </c>
      <c r="K99" s="10"/>
      <c r="L99" s="47"/>
      <c r="M99" s="10"/>
      <c r="N99" s="77"/>
      <c r="O99" s="70"/>
      <c r="P99" s="70"/>
      <c r="Q99" s="70"/>
    </row>
    <row r="100" spans="1:17" s="5" customFormat="1" ht="7.5" customHeight="1" thickBot="1">
      <c r="A100" s="9"/>
      <c r="B100" s="10"/>
      <c r="C100" s="10"/>
      <c r="D100" s="10"/>
      <c r="E100" s="10"/>
      <c r="F100" s="10"/>
      <c r="G100" s="10"/>
      <c r="H100" s="10"/>
      <c r="I100" s="10"/>
      <c r="J100" s="10"/>
      <c r="K100" s="15"/>
      <c r="L100" s="261"/>
      <c r="N100" s="70"/>
      <c r="O100" s="77"/>
      <c r="P100" s="77"/>
      <c r="Q100" s="70"/>
    </row>
    <row r="101" spans="1:17" s="5" customFormat="1" ht="30" customHeight="1" thickBot="1">
      <c r="A101" s="9"/>
      <c r="B101" s="408" t="s">
        <v>266</v>
      </c>
      <c r="C101" s="408"/>
      <c r="D101" s="408"/>
      <c r="E101" s="408"/>
      <c r="F101" s="408"/>
      <c r="G101" s="10"/>
      <c r="H101" s="14" t="s">
        <v>267</v>
      </c>
      <c r="I101" s="87" t="str">
        <f>IF(COUNT(I92,I93,I94,I95,I96,I97,I98,I99)=8,I99*I92+I96*(I98*I93+(1-I98)*I94)+I97*I95,"")</f>
        <v/>
      </c>
      <c r="J101" s="15" t="s">
        <v>47</v>
      </c>
      <c r="K101" s="572" t="s">
        <v>51</v>
      </c>
      <c r="L101" s="561"/>
      <c r="N101" s="70"/>
      <c r="O101" s="77"/>
      <c r="P101" s="77"/>
      <c r="Q101" s="70"/>
    </row>
    <row r="102" spans="1:17" s="5" customFormat="1" ht="20.25" customHeight="1" thickBot="1">
      <c r="A102" s="37"/>
      <c r="B102" s="63"/>
      <c r="C102" s="63"/>
      <c r="D102" s="63"/>
      <c r="E102" s="89"/>
      <c r="F102" s="89"/>
      <c r="G102" s="89"/>
      <c r="H102" s="89"/>
      <c r="I102" s="89"/>
      <c r="J102" s="89"/>
      <c r="K102" s="63"/>
      <c r="L102" s="90"/>
      <c r="O102" s="10"/>
      <c r="P102" s="10"/>
      <c r="Q102" s="10"/>
    </row>
    <row r="103" spans="1:17" s="5" customFormat="1" ht="7.15" customHeight="1">
      <c r="A103" s="35"/>
      <c r="B103" s="10"/>
      <c r="C103" s="4"/>
      <c r="D103" s="4"/>
      <c r="E103" s="4"/>
      <c r="F103" s="4"/>
      <c r="G103" s="4"/>
      <c r="H103" s="4"/>
      <c r="I103" s="4"/>
      <c r="J103" s="4"/>
      <c r="K103" s="4"/>
      <c r="L103" s="4"/>
      <c r="O103" s="10"/>
      <c r="P103" s="10"/>
      <c r="Q103" s="10"/>
    </row>
    <row r="104" spans="1:17" s="5" customFormat="1" ht="15" customHeight="1">
      <c r="A104" s="10"/>
      <c r="B104" s="10"/>
      <c r="C104" s="4"/>
      <c r="D104" s="4"/>
      <c r="E104" s="4"/>
      <c r="F104" s="4"/>
      <c r="G104" s="4"/>
      <c r="H104" s="4"/>
      <c r="I104" s="4"/>
      <c r="J104" s="4"/>
      <c r="K104" s="4"/>
      <c r="L104" s="4"/>
      <c r="O104" s="10"/>
      <c r="P104" s="10"/>
      <c r="Q104" s="10"/>
    </row>
    <row r="105" spans="1:17" s="5" customFormat="1" ht="15" customHeight="1">
      <c r="A105" s="4"/>
      <c r="B105" s="4"/>
      <c r="C105" s="4"/>
      <c r="D105" s="4"/>
      <c r="E105" s="4"/>
      <c r="F105" s="4"/>
      <c r="G105" s="4"/>
      <c r="H105" s="4"/>
      <c r="I105" s="4"/>
      <c r="J105" s="4"/>
      <c r="K105" s="4"/>
      <c r="L105" s="4"/>
      <c r="O105" s="10"/>
      <c r="P105" s="10"/>
      <c r="Q105" s="10"/>
    </row>
    <row r="106" spans="1:17" s="5" customFormat="1" ht="15" customHeight="1">
      <c r="A106" s="4"/>
      <c r="B106" s="4"/>
      <c r="C106" s="4"/>
      <c r="D106" s="4"/>
      <c r="E106" s="4"/>
      <c r="F106" s="4"/>
      <c r="G106" s="4"/>
      <c r="H106" s="4"/>
      <c r="I106" s="4"/>
      <c r="J106" s="4"/>
      <c r="K106" s="4"/>
      <c r="L106" s="4"/>
      <c r="O106" s="10"/>
      <c r="P106" s="10"/>
      <c r="Q106" s="10"/>
    </row>
    <row r="107" spans="1:17" s="5" customFormat="1" ht="7.5" customHeight="1">
      <c r="A107" s="4"/>
      <c r="B107" s="4"/>
      <c r="C107" s="4"/>
      <c r="D107" s="4"/>
      <c r="E107" s="4"/>
      <c r="F107" s="4"/>
      <c r="G107" s="4"/>
      <c r="H107" s="4"/>
      <c r="I107" s="4"/>
      <c r="J107" s="4"/>
      <c r="K107" s="4"/>
      <c r="L107" s="4"/>
    </row>
    <row r="108" spans="1:17" s="5" customFormat="1" ht="30" customHeight="1">
      <c r="A108" s="4"/>
      <c r="B108" s="4"/>
      <c r="C108" s="4"/>
      <c r="D108" s="4"/>
      <c r="E108" s="4"/>
      <c r="F108" s="4"/>
      <c r="G108" s="4"/>
      <c r="H108" s="4"/>
      <c r="I108" s="4"/>
      <c r="J108" s="4"/>
      <c r="K108" s="4"/>
      <c r="L108" s="4"/>
    </row>
    <row r="109" spans="1:17" s="5" customFormat="1" ht="15" customHeight="1">
      <c r="A109" s="4"/>
      <c r="B109" s="4"/>
      <c r="C109" s="4"/>
      <c r="D109" s="4"/>
      <c r="E109" s="4"/>
      <c r="F109" s="4"/>
      <c r="G109" s="4"/>
      <c r="H109" s="4"/>
      <c r="I109" s="4"/>
      <c r="J109" s="4"/>
      <c r="K109" s="4"/>
      <c r="L109" s="4"/>
    </row>
    <row r="110" spans="1:17" s="10" customFormat="1" ht="22.5" customHeight="1">
      <c r="A110" s="4"/>
      <c r="B110" s="4"/>
      <c r="C110" s="4"/>
      <c r="D110" s="4"/>
      <c r="E110" s="4"/>
      <c r="F110" s="4"/>
      <c r="G110" s="4"/>
      <c r="H110" s="4"/>
      <c r="I110" s="4"/>
      <c r="J110" s="4"/>
      <c r="K110" s="4"/>
      <c r="L110" s="4"/>
      <c r="O110" s="5"/>
      <c r="P110" s="5"/>
      <c r="Q110" s="5"/>
    </row>
    <row r="111" spans="1:17" s="5" customFormat="1" ht="15" customHeight="1">
      <c r="A111" s="4"/>
      <c r="B111" s="4"/>
      <c r="C111" s="4"/>
      <c r="D111" s="4"/>
      <c r="E111" s="4"/>
      <c r="F111" s="4"/>
      <c r="G111" s="4"/>
      <c r="H111" s="4"/>
      <c r="I111" s="4"/>
      <c r="J111" s="4"/>
      <c r="K111" s="4"/>
      <c r="L111" s="4"/>
    </row>
    <row r="112" spans="1:17" s="5" customFormat="1" ht="15" customHeight="1">
      <c r="A112" s="4"/>
      <c r="B112" s="4"/>
      <c r="C112" s="4"/>
      <c r="D112" s="4"/>
      <c r="E112" s="4"/>
      <c r="F112" s="4"/>
      <c r="G112" s="4"/>
      <c r="H112" s="4"/>
      <c r="I112" s="4"/>
      <c r="J112" s="4"/>
      <c r="K112" s="4"/>
      <c r="L112" s="4"/>
    </row>
    <row r="113" spans="1:12" s="5" customFormat="1" ht="26.25" customHeight="1">
      <c r="A113" s="4"/>
      <c r="B113" s="4"/>
      <c r="C113" s="4"/>
      <c r="D113" s="4"/>
      <c r="E113" s="4"/>
      <c r="F113" s="4"/>
      <c r="G113" s="4"/>
      <c r="H113" s="4"/>
      <c r="I113" s="4"/>
      <c r="J113" s="4"/>
      <c r="K113" s="4"/>
      <c r="L113" s="4"/>
    </row>
    <row r="114" spans="1:12" s="5" customFormat="1" ht="13.5" customHeight="1">
      <c r="A114" s="4"/>
      <c r="B114" s="4"/>
      <c r="C114" s="4"/>
      <c r="D114" s="4"/>
      <c r="E114" s="4"/>
      <c r="F114" s="4"/>
      <c r="G114" s="4"/>
      <c r="H114" s="4"/>
      <c r="I114" s="4"/>
      <c r="J114" s="4"/>
      <c r="K114" s="4"/>
      <c r="L114" s="4"/>
    </row>
    <row r="115" spans="1:12" s="5" customFormat="1" ht="13.5" customHeight="1">
      <c r="A115" s="4"/>
      <c r="B115" s="4"/>
      <c r="C115" s="4"/>
      <c r="D115" s="4"/>
      <c r="E115" s="4"/>
      <c r="F115" s="4"/>
      <c r="G115" s="4"/>
      <c r="H115" s="4"/>
      <c r="I115" s="4"/>
      <c r="J115" s="4"/>
      <c r="K115" s="4"/>
      <c r="L115" s="4"/>
    </row>
    <row r="116" spans="1:12" s="5" customFormat="1" ht="7.5" customHeight="1">
      <c r="A116" s="4"/>
      <c r="B116" s="4"/>
      <c r="C116" s="4"/>
      <c r="D116" s="4"/>
      <c r="E116" s="4"/>
      <c r="F116" s="4"/>
      <c r="G116" s="4"/>
      <c r="H116" s="4"/>
      <c r="I116" s="4"/>
      <c r="J116" s="4"/>
      <c r="K116" s="4"/>
      <c r="L116" s="4"/>
    </row>
    <row r="117" spans="1:12" s="5" customFormat="1" ht="15" customHeight="1">
      <c r="A117" s="4"/>
      <c r="B117" s="4"/>
      <c r="C117" s="4"/>
      <c r="D117" s="4"/>
      <c r="E117" s="4"/>
      <c r="F117" s="4"/>
      <c r="G117" s="4"/>
      <c r="H117" s="4"/>
      <c r="I117" s="4"/>
      <c r="J117" s="4"/>
      <c r="K117" s="4"/>
      <c r="L117" s="4"/>
    </row>
    <row r="118" spans="1:12" s="5" customFormat="1" ht="15" customHeight="1">
      <c r="A118" s="4"/>
      <c r="B118" s="4"/>
      <c r="C118" s="4"/>
      <c r="D118" s="4"/>
      <c r="E118" s="4"/>
      <c r="F118" s="4"/>
      <c r="G118" s="4"/>
      <c r="H118" s="4"/>
      <c r="I118" s="4"/>
      <c r="J118" s="4"/>
      <c r="K118" s="4"/>
      <c r="L118" s="4"/>
    </row>
    <row r="119" spans="1:12" s="5" customFormat="1" ht="15" customHeight="1">
      <c r="A119" s="4"/>
      <c r="B119" s="4"/>
      <c r="C119" s="4"/>
      <c r="D119" s="4"/>
      <c r="E119" s="4"/>
      <c r="F119" s="4"/>
      <c r="G119" s="4"/>
      <c r="H119" s="4"/>
      <c r="I119" s="4"/>
      <c r="J119" s="4"/>
      <c r="K119" s="4"/>
      <c r="L119" s="4"/>
    </row>
    <row r="120" spans="1:12" s="5" customFormat="1" ht="15" customHeight="1">
      <c r="A120" s="4"/>
      <c r="B120" s="4"/>
      <c r="C120" s="4"/>
      <c r="D120" s="4"/>
      <c r="E120" s="4"/>
      <c r="F120" s="4"/>
      <c r="G120" s="4"/>
      <c r="H120" s="4"/>
      <c r="I120" s="4"/>
      <c r="J120" s="4"/>
      <c r="K120" s="4"/>
      <c r="L120" s="4"/>
    </row>
    <row r="121" spans="1:12" s="5" customFormat="1" ht="15" customHeight="1">
      <c r="A121" s="4"/>
      <c r="B121" s="4"/>
      <c r="C121" s="4"/>
      <c r="D121" s="4"/>
      <c r="E121" s="4"/>
      <c r="F121" s="4"/>
      <c r="G121" s="4"/>
      <c r="H121" s="4"/>
      <c r="I121" s="4"/>
      <c r="J121" s="4"/>
      <c r="K121" s="4"/>
      <c r="L121" s="4"/>
    </row>
    <row r="122" spans="1:12" s="5" customFormat="1" ht="15" customHeight="1">
      <c r="A122" s="4"/>
      <c r="B122" s="4"/>
      <c r="C122" s="4"/>
      <c r="D122" s="4"/>
      <c r="E122" s="4"/>
      <c r="F122" s="4"/>
      <c r="G122" s="4"/>
      <c r="H122" s="4"/>
      <c r="I122" s="4"/>
      <c r="J122" s="4"/>
      <c r="K122" s="4"/>
      <c r="L122" s="4"/>
    </row>
    <row r="123" spans="1:12" s="5" customFormat="1" ht="28.5" customHeight="1">
      <c r="A123" s="4"/>
      <c r="B123" s="4"/>
      <c r="C123" s="4"/>
      <c r="D123" s="4"/>
      <c r="E123" s="4"/>
      <c r="F123" s="4"/>
      <c r="G123" s="4"/>
      <c r="H123" s="4"/>
      <c r="I123" s="4"/>
      <c r="J123" s="4"/>
      <c r="K123" s="4"/>
      <c r="L123" s="4"/>
    </row>
    <row r="124" spans="1:12" s="5" customFormat="1" ht="15" customHeight="1">
      <c r="A124" s="4"/>
      <c r="B124" s="4"/>
      <c r="C124" s="4"/>
      <c r="D124" s="4"/>
      <c r="E124" s="4"/>
      <c r="F124" s="4"/>
      <c r="G124" s="4"/>
      <c r="H124" s="4"/>
      <c r="I124" s="4"/>
      <c r="J124" s="4"/>
      <c r="K124" s="4"/>
      <c r="L124" s="4"/>
    </row>
    <row r="125" spans="1:12" s="5" customFormat="1" ht="15" customHeight="1">
      <c r="A125" s="4"/>
      <c r="B125" s="4"/>
      <c r="C125" s="4"/>
      <c r="D125" s="4"/>
      <c r="E125" s="4"/>
      <c r="F125" s="4"/>
      <c r="G125" s="4"/>
      <c r="H125" s="4"/>
      <c r="I125" s="4"/>
      <c r="J125" s="4"/>
      <c r="K125" s="4"/>
      <c r="L125" s="4"/>
    </row>
    <row r="126" spans="1:12" s="5" customFormat="1" ht="7.5" customHeight="1">
      <c r="A126" s="4"/>
      <c r="B126" s="4"/>
      <c r="C126" s="4"/>
      <c r="D126" s="4"/>
      <c r="E126" s="4"/>
      <c r="F126" s="4"/>
      <c r="G126" s="4"/>
      <c r="H126" s="4"/>
      <c r="I126" s="4"/>
      <c r="J126" s="4"/>
      <c r="K126" s="4"/>
      <c r="L126" s="4"/>
    </row>
    <row r="127" spans="1:12" s="5" customFormat="1" ht="30" customHeight="1">
      <c r="A127" s="4"/>
      <c r="B127" s="4"/>
      <c r="C127" s="4"/>
      <c r="D127" s="4"/>
      <c r="E127" s="4"/>
      <c r="F127" s="4"/>
      <c r="G127" s="4"/>
      <c r="H127" s="4"/>
      <c r="I127" s="4"/>
      <c r="J127" s="4"/>
      <c r="K127" s="4"/>
      <c r="L127" s="4"/>
    </row>
    <row r="128" spans="1:12" s="5" customFormat="1" ht="30" customHeight="1">
      <c r="A128" s="4"/>
      <c r="B128" s="4"/>
      <c r="C128" s="4"/>
      <c r="D128" s="4"/>
      <c r="E128" s="4"/>
      <c r="F128" s="4"/>
      <c r="G128" s="4"/>
      <c r="H128" s="4"/>
      <c r="I128" s="4"/>
      <c r="J128" s="4"/>
      <c r="K128" s="4"/>
      <c r="L128" s="4"/>
    </row>
    <row r="129" spans="1:12" s="5" customFormat="1" ht="41.25" customHeight="1">
      <c r="A129" s="4"/>
      <c r="B129" s="4"/>
      <c r="C129" s="4"/>
      <c r="D129" s="4"/>
      <c r="E129" s="4"/>
      <c r="F129" s="4"/>
      <c r="G129" s="4"/>
      <c r="H129" s="4"/>
      <c r="I129" s="4"/>
      <c r="J129" s="4"/>
      <c r="K129" s="4"/>
      <c r="L129" s="4"/>
    </row>
    <row r="130" spans="1:12" s="5" customFormat="1" ht="15" customHeight="1">
      <c r="A130" s="4"/>
      <c r="B130" s="4"/>
      <c r="C130" s="4"/>
      <c r="D130" s="4"/>
      <c r="E130" s="4"/>
      <c r="F130" s="4"/>
      <c r="G130" s="4"/>
      <c r="H130" s="4"/>
      <c r="I130" s="4"/>
      <c r="J130" s="4"/>
      <c r="K130" s="4"/>
      <c r="L130" s="4"/>
    </row>
    <row r="131" spans="1:12" s="5" customFormat="1" ht="15" customHeight="1">
      <c r="A131" s="4"/>
      <c r="B131" s="4"/>
      <c r="C131" s="4"/>
      <c r="D131" s="4"/>
      <c r="E131" s="4"/>
      <c r="F131" s="4"/>
      <c r="G131" s="4"/>
      <c r="H131" s="4"/>
      <c r="I131" s="4"/>
      <c r="J131" s="4"/>
      <c r="K131" s="4"/>
      <c r="L131" s="4"/>
    </row>
    <row r="132" spans="1:12" s="5" customFormat="1" ht="15" customHeight="1">
      <c r="A132" s="4"/>
      <c r="B132" s="4"/>
      <c r="C132" s="4"/>
      <c r="D132" s="4"/>
      <c r="E132" s="4"/>
      <c r="F132" s="4"/>
      <c r="G132" s="4"/>
      <c r="H132" s="4"/>
      <c r="I132" s="4"/>
      <c r="J132" s="4"/>
      <c r="K132" s="4"/>
      <c r="L132" s="4"/>
    </row>
    <row r="133" spans="1:12" s="5" customFormat="1" ht="15" customHeight="1">
      <c r="A133" s="4"/>
      <c r="B133" s="4"/>
      <c r="C133" s="4"/>
      <c r="D133" s="4"/>
      <c r="E133" s="4"/>
      <c r="F133" s="4"/>
      <c r="G133" s="4"/>
      <c r="H133" s="4"/>
      <c r="I133" s="4"/>
      <c r="J133" s="4"/>
      <c r="K133" s="4"/>
      <c r="L133" s="4"/>
    </row>
    <row r="134" spans="1:12" s="5" customFormat="1" ht="15" customHeight="1">
      <c r="A134" s="4"/>
      <c r="B134" s="4"/>
      <c r="C134" s="4"/>
      <c r="D134" s="4"/>
      <c r="E134" s="4"/>
      <c r="F134" s="4"/>
      <c r="G134" s="4"/>
      <c r="H134" s="4"/>
      <c r="I134" s="4"/>
      <c r="J134" s="4"/>
      <c r="K134" s="4"/>
      <c r="L134" s="4"/>
    </row>
    <row r="135" spans="1:12" s="5" customFormat="1" ht="15" customHeight="1">
      <c r="A135" s="4"/>
      <c r="B135" s="4"/>
      <c r="C135" s="4"/>
      <c r="D135" s="4"/>
      <c r="E135" s="4"/>
      <c r="F135" s="4"/>
      <c r="G135" s="4"/>
      <c r="H135" s="4"/>
      <c r="I135" s="4"/>
      <c r="J135" s="4"/>
      <c r="K135" s="4"/>
      <c r="L135" s="4"/>
    </row>
    <row r="136" spans="1:12" s="5" customFormat="1" ht="15" customHeight="1">
      <c r="A136" s="4"/>
      <c r="B136" s="4"/>
      <c r="C136" s="4"/>
      <c r="D136" s="4"/>
      <c r="E136" s="4"/>
      <c r="F136" s="4"/>
      <c r="G136" s="4"/>
      <c r="H136" s="4"/>
      <c r="I136" s="4"/>
      <c r="J136" s="4"/>
      <c r="K136" s="4"/>
      <c r="L136" s="4"/>
    </row>
    <row r="137" spans="1:12" s="5" customFormat="1" ht="15" customHeight="1">
      <c r="A137" s="4"/>
      <c r="B137" s="4"/>
      <c r="C137" s="4"/>
      <c r="D137" s="4"/>
      <c r="E137" s="4"/>
      <c r="F137" s="4"/>
      <c r="G137" s="4"/>
      <c r="H137" s="4"/>
      <c r="I137" s="4"/>
      <c r="J137" s="4"/>
      <c r="K137" s="4"/>
      <c r="L137" s="4"/>
    </row>
    <row r="138" spans="1:12" s="5" customFormat="1" ht="15" customHeight="1">
      <c r="A138" s="4"/>
      <c r="B138" s="4"/>
      <c r="C138" s="4"/>
      <c r="D138" s="4"/>
      <c r="E138" s="4"/>
      <c r="F138" s="4"/>
      <c r="G138" s="4"/>
      <c r="H138" s="4"/>
      <c r="I138" s="4"/>
      <c r="J138" s="4"/>
      <c r="K138" s="4"/>
      <c r="L138" s="4"/>
    </row>
    <row r="139" spans="1:12" s="5" customFormat="1" ht="15" customHeight="1">
      <c r="A139" s="4"/>
      <c r="B139" s="4"/>
      <c r="C139" s="4"/>
      <c r="D139" s="4"/>
      <c r="E139" s="4"/>
      <c r="F139" s="4"/>
      <c r="G139" s="4"/>
      <c r="H139" s="4"/>
      <c r="I139" s="4"/>
      <c r="J139" s="4"/>
      <c r="K139" s="4"/>
      <c r="L139" s="4"/>
    </row>
    <row r="140" spans="1:12" s="5" customFormat="1" ht="15" customHeight="1">
      <c r="A140" s="4"/>
      <c r="B140" s="4"/>
      <c r="C140" s="4"/>
      <c r="D140" s="4"/>
      <c r="E140" s="4"/>
      <c r="F140" s="4"/>
      <c r="G140" s="4"/>
      <c r="H140" s="4"/>
      <c r="I140" s="4"/>
      <c r="J140" s="4"/>
      <c r="K140" s="4"/>
      <c r="L140" s="4"/>
    </row>
    <row r="141" spans="1:12" s="5" customFormat="1" ht="15" customHeight="1">
      <c r="A141" s="4"/>
      <c r="B141" s="4"/>
      <c r="C141" s="4"/>
      <c r="D141" s="4"/>
      <c r="E141" s="4"/>
      <c r="F141" s="4"/>
      <c r="G141" s="4"/>
      <c r="H141" s="4"/>
      <c r="I141" s="4"/>
      <c r="J141" s="4"/>
      <c r="K141" s="4"/>
      <c r="L141" s="4"/>
    </row>
    <row r="142" spans="1:12" s="5" customFormat="1" ht="15" customHeight="1">
      <c r="A142" s="4"/>
      <c r="B142" s="4"/>
      <c r="C142" s="4"/>
      <c r="D142" s="4"/>
      <c r="E142" s="4"/>
      <c r="F142" s="4"/>
      <c r="G142" s="4"/>
      <c r="H142" s="4"/>
      <c r="I142" s="4"/>
      <c r="J142" s="4"/>
      <c r="K142" s="4"/>
      <c r="L142" s="4"/>
    </row>
    <row r="143" spans="1:12" s="5" customFormat="1" ht="15" customHeight="1">
      <c r="A143" s="4"/>
      <c r="B143" s="4"/>
      <c r="C143" s="4"/>
      <c r="D143" s="4"/>
      <c r="E143" s="4"/>
      <c r="F143" s="4"/>
      <c r="G143" s="4"/>
      <c r="H143" s="4"/>
      <c r="I143" s="4"/>
      <c r="J143" s="4"/>
      <c r="K143" s="4"/>
      <c r="L143" s="4"/>
    </row>
    <row r="144" spans="1:12" s="5" customFormat="1" ht="22.5" customHeight="1">
      <c r="A144" s="4"/>
      <c r="B144" s="4"/>
      <c r="C144" s="4"/>
      <c r="D144" s="4"/>
      <c r="E144" s="4"/>
      <c r="F144" s="4"/>
      <c r="G144" s="4"/>
      <c r="H144" s="4"/>
      <c r="I144" s="4"/>
      <c r="J144" s="4"/>
      <c r="K144" s="4"/>
      <c r="L144" s="4"/>
    </row>
    <row r="145" spans="1:14" s="5" customFormat="1" ht="15" customHeight="1">
      <c r="A145" s="4"/>
      <c r="B145" s="4"/>
      <c r="C145" s="4"/>
      <c r="D145" s="4"/>
      <c r="E145" s="4"/>
      <c r="F145" s="4"/>
      <c r="G145" s="4"/>
      <c r="H145" s="4"/>
      <c r="I145" s="4"/>
      <c r="J145" s="4"/>
      <c r="K145" s="4"/>
      <c r="L145" s="4"/>
    </row>
    <row r="146" spans="1:14" s="5" customFormat="1" ht="15" customHeight="1">
      <c r="A146" s="4"/>
      <c r="B146" s="4"/>
      <c r="C146" s="4"/>
      <c r="D146" s="4"/>
      <c r="E146" s="4"/>
      <c r="F146" s="4"/>
      <c r="G146" s="4"/>
      <c r="H146" s="4"/>
      <c r="I146" s="4"/>
      <c r="J146" s="4"/>
      <c r="K146" s="4"/>
      <c r="L146" s="4"/>
      <c r="N146" s="10"/>
    </row>
    <row r="147" spans="1:14" s="5" customFormat="1" ht="15" customHeight="1">
      <c r="A147" s="4"/>
      <c r="B147" s="4"/>
      <c r="C147" s="4"/>
      <c r="D147" s="4"/>
      <c r="E147" s="4"/>
      <c r="F147" s="4"/>
      <c r="G147" s="4"/>
      <c r="H147" s="4"/>
      <c r="I147" s="4"/>
      <c r="J147" s="4"/>
      <c r="K147" s="4"/>
      <c r="L147" s="4"/>
      <c r="N147" s="10"/>
    </row>
    <row r="148" spans="1:14" s="5" customFormat="1" ht="9.75" customHeight="1">
      <c r="A148" s="4"/>
      <c r="B148" s="4"/>
      <c r="C148" s="4"/>
      <c r="D148" s="4"/>
      <c r="E148" s="4"/>
      <c r="F148" s="4"/>
      <c r="G148" s="4"/>
      <c r="H148" s="4"/>
      <c r="I148" s="4"/>
      <c r="J148" s="4"/>
      <c r="K148" s="4"/>
      <c r="L148" s="4"/>
      <c r="N148" s="10"/>
    </row>
    <row r="149" spans="1:14" s="5" customFormat="1" ht="26.25" customHeight="1">
      <c r="A149" s="4"/>
      <c r="B149" s="4"/>
      <c r="C149" s="4"/>
      <c r="D149" s="4"/>
      <c r="E149" s="4"/>
      <c r="F149" s="4"/>
      <c r="G149" s="4"/>
      <c r="H149" s="4"/>
      <c r="I149" s="4"/>
      <c r="J149" s="4"/>
      <c r="K149" s="4"/>
      <c r="L149" s="4"/>
      <c r="N149" s="10"/>
    </row>
    <row r="150" spans="1:14" s="5" customFormat="1" ht="26.25" customHeight="1">
      <c r="A150" s="4"/>
      <c r="B150" s="4"/>
      <c r="C150" s="4"/>
      <c r="D150" s="4"/>
      <c r="E150" s="4"/>
      <c r="F150" s="4"/>
      <c r="G150" s="4"/>
      <c r="H150" s="4"/>
      <c r="I150" s="4"/>
      <c r="J150" s="4"/>
      <c r="K150" s="4"/>
      <c r="L150" s="4"/>
    </row>
    <row r="151" spans="1:14" s="5" customFormat="1" ht="15" customHeight="1">
      <c r="A151" s="4"/>
      <c r="B151" s="4"/>
      <c r="C151" s="4"/>
      <c r="D151" s="4"/>
      <c r="E151" s="4"/>
      <c r="F151" s="4"/>
      <c r="G151" s="4"/>
      <c r="H151" s="4"/>
      <c r="I151" s="4"/>
      <c r="J151" s="4"/>
      <c r="K151" s="4"/>
      <c r="L151" s="4"/>
    </row>
    <row r="152" spans="1:14" s="5" customFormat="1" ht="15" customHeight="1">
      <c r="A152" s="4"/>
      <c r="B152" s="4"/>
      <c r="C152" s="4"/>
      <c r="D152" s="4"/>
      <c r="E152" s="4"/>
      <c r="F152" s="4"/>
      <c r="G152" s="4"/>
      <c r="H152" s="4"/>
      <c r="I152" s="4"/>
      <c r="J152" s="4"/>
      <c r="K152" s="4"/>
      <c r="L152" s="4"/>
    </row>
    <row r="153" spans="1:14" s="5" customFormat="1" ht="15" customHeight="1">
      <c r="A153" s="4"/>
      <c r="B153" s="4"/>
      <c r="C153" s="4"/>
      <c r="D153" s="4"/>
      <c r="E153" s="4"/>
      <c r="F153" s="4"/>
      <c r="G153" s="4"/>
      <c r="H153" s="4"/>
      <c r="I153" s="4"/>
      <c r="J153" s="4"/>
      <c r="K153" s="4"/>
      <c r="L153" s="4"/>
    </row>
    <row r="154" spans="1:14" s="5" customFormat="1" ht="15" customHeight="1">
      <c r="A154" s="4"/>
      <c r="B154" s="4"/>
      <c r="C154" s="4"/>
      <c r="D154" s="4"/>
      <c r="E154" s="4"/>
      <c r="F154" s="4"/>
      <c r="G154" s="4"/>
      <c r="H154" s="4"/>
      <c r="I154" s="4"/>
      <c r="J154" s="4"/>
      <c r="K154" s="4"/>
      <c r="L154" s="4"/>
    </row>
    <row r="155" spans="1:14" s="5" customFormat="1" ht="15" customHeight="1">
      <c r="A155" s="4"/>
      <c r="B155" s="4"/>
      <c r="C155" s="4"/>
      <c r="D155" s="4"/>
      <c r="E155" s="4"/>
      <c r="F155" s="4"/>
      <c r="G155" s="4"/>
      <c r="H155" s="4"/>
      <c r="I155" s="4"/>
      <c r="J155" s="4"/>
      <c r="K155" s="4"/>
      <c r="L155" s="4"/>
    </row>
    <row r="156" spans="1:14" s="5" customFormat="1" ht="15" customHeight="1">
      <c r="A156" s="4"/>
      <c r="B156" s="4"/>
      <c r="C156" s="4"/>
      <c r="D156" s="4"/>
      <c r="E156" s="4"/>
      <c r="F156" s="4"/>
      <c r="G156" s="4"/>
      <c r="H156" s="4"/>
      <c r="I156" s="4"/>
      <c r="J156" s="4"/>
      <c r="K156" s="4"/>
      <c r="L156" s="4"/>
    </row>
    <row r="157" spans="1:14" s="5" customFormat="1" ht="15" customHeight="1">
      <c r="A157" s="4"/>
      <c r="B157" s="4"/>
      <c r="C157" s="4"/>
      <c r="D157" s="4"/>
      <c r="E157" s="4"/>
      <c r="F157" s="4"/>
      <c r="G157" s="4"/>
      <c r="H157" s="4"/>
      <c r="I157" s="4"/>
      <c r="J157" s="4"/>
      <c r="K157" s="4"/>
      <c r="L157" s="4"/>
    </row>
    <row r="158" spans="1:14" s="5" customFormat="1" ht="7.5" customHeight="1">
      <c r="A158" s="4"/>
      <c r="B158" s="4"/>
      <c r="C158" s="4"/>
      <c r="D158" s="4"/>
      <c r="E158" s="4"/>
      <c r="F158" s="4"/>
      <c r="G158" s="4"/>
      <c r="H158" s="4"/>
      <c r="I158" s="4"/>
      <c r="J158" s="4"/>
      <c r="K158" s="4"/>
      <c r="L158" s="4"/>
    </row>
    <row r="159" spans="1:14" s="5" customFormat="1" ht="15" customHeight="1">
      <c r="A159" s="4"/>
      <c r="B159" s="4"/>
      <c r="C159" s="4"/>
      <c r="D159" s="4"/>
      <c r="E159" s="4"/>
      <c r="F159" s="4"/>
      <c r="G159" s="4"/>
      <c r="H159" s="4"/>
      <c r="I159" s="4"/>
      <c r="J159" s="4"/>
      <c r="K159" s="4"/>
      <c r="L159" s="4"/>
    </row>
    <row r="160" spans="1:14" s="5" customFormat="1" ht="7.5" customHeight="1">
      <c r="A160" s="4"/>
      <c r="B160" s="4"/>
      <c r="C160" s="4"/>
      <c r="D160" s="4"/>
      <c r="E160" s="4"/>
      <c r="F160" s="4"/>
      <c r="G160" s="4"/>
      <c r="H160" s="4"/>
      <c r="I160" s="4"/>
      <c r="J160" s="4"/>
      <c r="K160" s="4"/>
      <c r="L160" s="4"/>
    </row>
    <row r="161" spans="1:12" s="5" customFormat="1" ht="30" customHeight="1">
      <c r="A161" s="4"/>
      <c r="B161" s="4"/>
      <c r="C161" s="4"/>
      <c r="D161" s="4"/>
      <c r="E161" s="4"/>
      <c r="F161" s="4"/>
      <c r="G161" s="4"/>
      <c r="H161" s="4"/>
      <c r="I161" s="4"/>
      <c r="J161" s="4"/>
      <c r="K161" s="4"/>
      <c r="L161" s="4"/>
    </row>
    <row r="162" spans="1:12" s="5" customFormat="1" ht="7.5" customHeight="1">
      <c r="A162" s="4"/>
      <c r="B162" s="4"/>
      <c r="C162" s="4"/>
      <c r="D162" s="4"/>
      <c r="E162" s="4"/>
      <c r="F162" s="4"/>
      <c r="G162" s="4"/>
      <c r="H162" s="4"/>
      <c r="I162" s="4"/>
      <c r="J162" s="4"/>
      <c r="K162" s="4"/>
      <c r="L162" s="4"/>
    </row>
    <row r="163" spans="1:12" s="5" customFormat="1" ht="30" customHeight="1">
      <c r="A163" s="4"/>
      <c r="B163" s="4"/>
      <c r="C163" s="4"/>
      <c r="D163" s="4"/>
      <c r="E163" s="4"/>
      <c r="F163" s="4"/>
      <c r="G163" s="4"/>
      <c r="H163" s="4"/>
      <c r="I163" s="4"/>
      <c r="J163" s="4"/>
      <c r="K163" s="4"/>
      <c r="L163" s="4"/>
    </row>
    <row r="164" spans="1:12" s="5" customFormat="1" ht="15" customHeight="1">
      <c r="A164" s="4"/>
      <c r="B164" s="4"/>
      <c r="C164" s="4"/>
      <c r="D164" s="4"/>
      <c r="E164" s="4"/>
      <c r="F164" s="4"/>
      <c r="G164" s="4"/>
      <c r="H164" s="4"/>
      <c r="I164" s="4"/>
      <c r="J164" s="4"/>
      <c r="K164" s="4"/>
      <c r="L164" s="4"/>
    </row>
    <row r="165" spans="1:12" s="5" customFormat="1" ht="15" customHeight="1">
      <c r="A165" s="4"/>
      <c r="B165" s="4"/>
      <c r="C165" s="4"/>
      <c r="D165" s="4"/>
      <c r="E165" s="4"/>
      <c r="F165" s="4"/>
      <c r="G165" s="4"/>
      <c r="H165" s="4"/>
      <c r="I165" s="4"/>
      <c r="J165" s="4"/>
      <c r="K165" s="4"/>
      <c r="L165" s="4"/>
    </row>
    <row r="166" spans="1:12" s="5" customFormat="1" ht="15" customHeight="1">
      <c r="A166" s="4"/>
      <c r="B166" s="4"/>
      <c r="C166" s="4"/>
      <c r="D166" s="4"/>
      <c r="E166" s="4"/>
      <c r="F166" s="4"/>
      <c r="G166" s="4"/>
      <c r="H166" s="4"/>
      <c r="I166" s="4"/>
      <c r="J166" s="4"/>
      <c r="K166" s="4"/>
      <c r="L166" s="4"/>
    </row>
    <row r="167" spans="1:12" s="5" customFormat="1" ht="15" customHeight="1">
      <c r="A167" s="4"/>
      <c r="B167" s="4"/>
      <c r="C167" s="4"/>
      <c r="D167" s="4"/>
      <c r="E167" s="4"/>
      <c r="F167" s="4"/>
      <c r="G167" s="4"/>
      <c r="H167" s="4"/>
      <c r="I167" s="4"/>
      <c r="J167" s="4"/>
      <c r="K167" s="4"/>
      <c r="L167" s="4"/>
    </row>
    <row r="168" spans="1:12" s="5" customFormat="1" ht="15" customHeight="1">
      <c r="A168" s="4"/>
      <c r="B168" s="4"/>
      <c r="C168" s="4"/>
      <c r="D168" s="4"/>
      <c r="E168" s="4"/>
      <c r="F168" s="4"/>
      <c r="G168" s="4"/>
      <c r="H168" s="4"/>
      <c r="I168" s="4"/>
      <c r="J168" s="4"/>
      <c r="K168" s="4"/>
      <c r="L168" s="4"/>
    </row>
    <row r="169" spans="1:12" s="5" customFormat="1" ht="15" customHeight="1">
      <c r="A169" s="4"/>
      <c r="B169" s="4"/>
      <c r="C169" s="4"/>
      <c r="D169" s="4"/>
      <c r="E169" s="4"/>
      <c r="F169" s="4"/>
      <c r="G169" s="4"/>
      <c r="H169" s="4"/>
      <c r="I169" s="4"/>
      <c r="J169" s="4"/>
      <c r="K169" s="4"/>
      <c r="L169" s="4"/>
    </row>
    <row r="170" spans="1:12" s="5" customFormat="1" ht="15" customHeight="1">
      <c r="A170" s="4"/>
      <c r="B170" s="4"/>
      <c r="C170" s="4"/>
      <c r="D170" s="4"/>
      <c r="E170" s="4"/>
      <c r="F170" s="4"/>
      <c r="G170" s="4"/>
      <c r="H170" s="4"/>
      <c r="I170" s="4"/>
      <c r="J170" s="4"/>
      <c r="K170" s="4"/>
      <c r="L170" s="4"/>
    </row>
    <row r="171" spans="1:12" s="5" customFormat="1" ht="15" customHeight="1">
      <c r="A171" s="4"/>
      <c r="B171" s="4"/>
      <c r="C171" s="4"/>
      <c r="D171" s="4"/>
      <c r="E171" s="4"/>
      <c r="F171" s="4"/>
      <c r="G171" s="4"/>
      <c r="H171" s="4"/>
      <c r="I171" s="4"/>
      <c r="J171" s="4"/>
      <c r="K171" s="4"/>
      <c r="L171" s="4"/>
    </row>
    <row r="172" spans="1:12" s="5" customFormat="1" ht="15" customHeight="1">
      <c r="A172" s="4"/>
      <c r="B172" s="4"/>
      <c r="C172" s="4"/>
      <c r="D172" s="4"/>
      <c r="E172" s="4"/>
      <c r="F172" s="4"/>
      <c r="G172" s="4"/>
      <c r="H172" s="4"/>
      <c r="I172" s="4"/>
      <c r="J172" s="4"/>
      <c r="K172" s="4"/>
      <c r="L172" s="4"/>
    </row>
    <row r="173" spans="1:12" s="5" customFormat="1" ht="7.5" customHeight="1">
      <c r="A173" s="4"/>
      <c r="B173" s="4"/>
      <c r="C173" s="4"/>
      <c r="D173" s="4"/>
      <c r="E173" s="4"/>
      <c r="F173" s="4"/>
      <c r="G173" s="4"/>
      <c r="H173" s="4"/>
      <c r="I173" s="4"/>
      <c r="J173" s="4"/>
      <c r="K173" s="4"/>
      <c r="L173" s="4"/>
    </row>
    <row r="174" spans="1:12" s="5" customFormat="1" ht="15" customHeight="1">
      <c r="A174" s="4"/>
      <c r="B174" s="4"/>
      <c r="C174" s="4"/>
      <c r="D174" s="4"/>
      <c r="E174" s="4"/>
      <c r="F174" s="4"/>
      <c r="G174" s="4"/>
      <c r="H174" s="4"/>
      <c r="I174" s="4"/>
      <c r="J174" s="4"/>
      <c r="K174" s="4"/>
      <c r="L174" s="4"/>
    </row>
    <row r="175" spans="1:12" s="5" customFormat="1" ht="7.5" customHeight="1">
      <c r="A175" s="4"/>
      <c r="B175" s="4"/>
      <c r="C175" s="4"/>
      <c r="D175" s="4"/>
      <c r="E175" s="4"/>
      <c r="F175" s="4"/>
      <c r="G175" s="4"/>
      <c r="H175" s="4"/>
      <c r="I175" s="4"/>
      <c r="J175" s="4"/>
      <c r="K175" s="4"/>
      <c r="L175" s="4"/>
    </row>
    <row r="176" spans="1:12" s="5" customFormat="1" ht="30" customHeight="1">
      <c r="A176" s="4"/>
      <c r="B176" s="4"/>
      <c r="C176" s="4"/>
      <c r="D176" s="4"/>
      <c r="E176" s="4"/>
      <c r="F176" s="4"/>
      <c r="G176" s="4"/>
      <c r="H176" s="4"/>
      <c r="I176" s="4"/>
      <c r="J176" s="4"/>
      <c r="K176" s="4"/>
      <c r="L176" s="4"/>
    </row>
    <row r="177" spans="1:12" s="5" customFormat="1" ht="7.5" customHeight="1">
      <c r="A177" s="4"/>
      <c r="B177" s="4"/>
      <c r="C177" s="4"/>
      <c r="D177" s="4"/>
      <c r="E177" s="4"/>
      <c r="F177" s="4"/>
      <c r="G177" s="4"/>
      <c r="H177" s="4"/>
      <c r="I177" s="4"/>
      <c r="J177" s="4"/>
      <c r="K177" s="4"/>
      <c r="L177" s="4"/>
    </row>
    <row r="178" spans="1:12" s="5" customFormat="1" ht="30" customHeight="1">
      <c r="A178" s="4"/>
      <c r="B178" s="4"/>
      <c r="C178" s="4"/>
      <c r="D178" s="4"/>
      <c r="E178" s="4"/>
      <c r="F178" s="4"/>
      <c r="G178" s="4"/>
      <c r="H178" s="4"/>
      <c r="I178" s="4"/>
      <c r="J178" s="4"/>
      <c r="K178" s="4"/>
      <c r="L178" s="4"/>
    </row>
    <row r="179" spans="1:12" s="5" customFormat="1" ht="15" customHeight="1">
      <c r="A179" s="4"/>
      <c r="B179" s="4"/>
      <c r="C179" s="4"/>
      <c r="D179" s="4"/>
      <c r="E179" s="4"/>
      <c r="F179" s="4"/>
      <c r="G179" s="4"/>
      <c r="H179" s="4"/>
      <c r="I179" s="4"/>
      <c r="J179" s="4"/>
      <c r="K179" s="4"/>
      <c r="L179" s="4"/>
    </row>
    <row r="180" spans="1:12" s="5" customFormat="1" ht="15" customHeight="1">
      <c r="A180" s="4"/>
      <c r="B180" s="4"/>
      <c r="C180" s="4"/>
      <c r="D180" s="4"/>
      <c r="E180" s="4"/>
      <c r="F180" s="4"/>
      <c r="G180" s="4"/>
      <c r="H180" s="4"/>
      <c r="I180" s="4"/>
      <c r="J180" s="4"/>
      <c r="K180" s="4"/>
      <c r="L180" s="4"/>
    </row>
    <row r="181" spans="1:12" s="5" customFormat="1" ht="15" customHeight="1">
      <c r="A181" s="4"/>
      <c r="B181" s="4"/>
      <c r="C181" s="4"/>
      <c r="D181" s="4"/>
      <c r="E181" s="4"/>
      <c r="F181" s="4"/>
      <c r="G181" s="4"/>
      <c r="H181" s="4"/>
      <c r="I181" s="4"/>
      <c r="J181" s="4"/>
      <c r="K181" s="4"/>
      <c r="L181" s="4"/>
    </row>
    <row r="182" spans="1:12" s="5" customFormat="1" ht="15" customHeight="1">
      <c r="A182" s="4"/>
      <c r="B182" s="4"/>
      <c r="C182" s="4"/>
      <c r="D182" s="4"/>
      <c r="E182" s="4"/>
      <c r="F182" s="4"/>
      <c r="G182" s="4"/>
      <c r="H182" s="4"/>
      <c r="I182" s="4"/>
      <c r="J182" s="4"/>
      <c r="K182" s="4"/>
      <c r="L182" s="4"/>
    </row>
    <row r="183" spans="1:12" s="5" customFormat="1" ht="15" customHeight="1">
      <c r="A183" s="4"/>
      <c r="B183" s="4"/>
      <c r="C183" s="4"/>
      <c r="D183" s="4"/>
      <c r="E183" s="4"/>
      <c r="F183" s="4"/>
      <c r="G183" s="4"/>
      <c r="H183" s="4"/>
      <c r="I183" s="4"/>
      <c r="J183" s="4"/>
      <c r="K183" s="4"/>
      <c r="L183" s="4"/>
    </row>
    <row r="184" spans="1:12" s="5" customFormat="1" ht="15" customHeight="1">
      <c r="A184" s="4"/>
      <c r="B184" s="4"/>
      <c r="C184" s="4"/>
      <c r="D184" s="4"/>
      <c r="E184" s="4"/>
      <c r="F184" s="4"/>
      <c r="G184" s="4"/>
      <c r="H184" s="4"/>
      <c r="I184" s="4"/>
      <c r="J184" s="4"/>
      <c r="K184" s="4"/>
      <c r="L184" s="4"/>
    </row>
    <row r="185" spans="1:12" s="5" customFormat="1" ht="15" customHeight="1">
      <c r="A185" s="4"/>
      <c r="B185" s="4"/>
      <c r="C185" s="4"/>
      <c r="D185" s="4"/>
      <c r="E185" s="4"/>
      <c r="F185" s="4"/>
      <c r="G185" s="4"/>
      <c r="H185" s="4"/>
      <c r="I185" s="4"/>
      <c r="J185" s="4"/>
      <c r="K185" s="4"/>
      <c r="L185" s="4"/>
    </row>
    <row r="186" spans="1:12" s="5" customFormat="1" ht="15" customHeight="1">
      <c r="A186" s="4"/>
      <c r="B186" s="4"/>
      <c r="C186" s="4"/>
      <c r="D186" s="4"/>
      <c r="E186" s="4"/>
      <c r="F186" s="4"/>
      <c r="G186" s="4"/>
      <c r="H186" s="4"/>
      <c r="I186" s="4"/>
      <c r="J186" s="4"/>
      <c r="K186" s="4"/>
      <c r="L186" s="4"/>
    </row>
    <row r="187" spans="1:12" s="5" customFormat="1" ht="15" customHeight="1">
      <c r="A187" s="4"/>
      <c r="B187" s="4"/>
      <c r="C187" s="4"/>
      <c r="D187" s="4"/>
      <c r="E187" s="4"/>
      <c r="F187" s="4"/>
      <c r="G187" s="4"/>
      <c r="H187" s="4"/>
      <c r="I187" s="4"/>
      <c r="J187" s="4"/>
      <c r="K187" s="4"/>
      <c r="L187" s="4"/>
    </row>
    <row r="188" spans="1:12" s="5" customFormat="1" ht="15" customHeight="1">
      <c r="A188" s="4"/>
      <c r="B188" s="4"/>
      <c r="C188" s="4"/>
      <c r="D188" s="4"/>
      <c r="E188" s="4"/>
      <c r="F188" s="4"/>
      <c r="G188" s="4"/>
      <c r="H188" s="4"/>
      <c r="I188" s="4"/>
      <c r="J188" s="4"/>
      <c r="K188" s="4"/>
      <c r="L188" s="4"/>
    </row>
    <row r="189" spans="1:12" s="5" customFormat="1" ht="15" customHeight="1">
      <c r="A189" s="4"/>
      <c r="B189" s="4"/>
      <c r="C189" s="4"/>
      <c r="D189" s="4"/>
      <c r="E189" s="4"/>
      <c r="F189" s="4"/>
      <c r="G189" s="4"/>
      <c r="H189" s="4"/>
      <c r="I189" s="4"/>
      <c r="J189" s="4"/>
      <c r="K189" s="4"/>
      <c r="L189" s="4"/>
    </row>
    <row r="190" spans="1:12" s="5" customFormat="1" ht="15" customHeight="1">
      <c r="A190" s="4"/>
      <c r="B190" s="4"/>
      <c r="C190" s="4"/>
      <c r="D190" s="4"/>
      <c r="E190" s="4"/>
      <c r="F190" s="4"/>
      <c r="G190" s="4"/>
      <c r="H190" s="4"/>
      <c r="I190" s="4"/>
      <c r="J190" s="4"/>
      <c r="K190" s="4"/>
      <c r="L190" s="4"/>
    </row>
    <row r="191" spans="1:12" s="5" customFormat="1" ht="15" customHeight="1">
      <c r="A191" s="4"/>
      <c r="B191" s="4"/>
      <c r="C191" s="4"/>
      <c r="D191" s="4"/>
      <c r="E191" s="4"/>
      <c r="F191" s="4"/>
      <c r="G191" s="4"/>
      <c r="H191" s="4"/>
      <c r="I191" s="4"/>
      <c r="J191" s="4"/>
      <c r="K191" s="4"/>
      <c r="L191" s="4"/>
    </row>
    <row r="192" spans="1:12" s="5" customFormat="1" ht="15" customHeight="1">
      <c r="A192" s="4"/>
      <c r="B192" s="4"/>
      <c r="C192" s="4"/>
      <c r="D192" s="4"/>
      <c r="E192" s="4"/>
      <c r="F192" s="4"/>
      <c r="G192" s="4"/>
      <c r="H192" s="4"/>
      <c r="I192" s="4"/>
      <c r="J192" s="4"/>
      <c r="K192" s="4"/>
      <c r="L192" s="4"/>
    </row>
    <row r="193" spans="1:17" s="5" customFormat="1" ht="15" customHeight="1">
      <c r="A193" s="4"/>
      <c r="B193" s="4"/>
      <c r="C193" s="4"/>
      <c r="D193" s="4"/>
      <c r="E193" s="4"/>
      <c r="F193" s="4"/>
      <c r="G193" s="4"/>
      <c r="H193" s="4"/>
      <c r="I193" s="4"/>
      <c r="J193" s="4"/>
      <c r="K193" s="4"/>
      <c r="L193" s="4"/>
    </row>
    <row r="194" spans="1:17" s="5" customFormat="1" ht="7.5" customHeight="1">
      <c r="A194" s="4"/>
      <c r="B194" s="4"/>
      <c r="C194" s="4"/>
      <c r="D194" s="4"/>
      <c r="E194" s="4"/>
      <c r="F194" s="4"/>
      <c r="G194" s="4"/>
      <c r="H194" s="4"/>
      <c r="I194" s="4"/>
      <c r="J194" s="4"/>
      <c r="K194" s="4"/>
      <c r="L194" s="4"/>
    </row>
    <row r="195" spans="1:17" s="5" customFormat="1" ht="15" customHeight="1">
      <c r="A195" s="4"/>
      <c r="B195" s="4"/>
      <c r="C195" s="4"/>
      <c r="D195" s="4"/>
      <c r="E195" s="4"/>
      <c r="F195" s="4"/>
      <c r="G195" s="4"/>
      <c r="H195" s="4"/>
      <c r="I195" s="4"/>
      <c r="J195" s="4"/>
      <c r="K195" s="4"/>
      <c r="L195" s="4"/>
    </row>
    <row r="196" spans="1:17" s="5" customFormat="1" ht="7.5" customHeight="1">
      <c r="A196" s="4"/>
      <c r="B196" s="4"/>
      <c r="C196" s="4"/>
      <c r="D196" s="4"/>
      <c r="E196" s="4"/>
      <c r="F196" s="4"/>
      <c r="G196" s="4"/>
      <c r="H196" s="4"/>
      <c r="I196" s="4"/>
      <c r="J196" s="4"/>
      <c r="K196" s="4"/>
      <c r="L196" s="4"/>
    </row>
    <row r="197" spans="1:17" s="5" customFormat="1" ht="15" customHeight="1">
      <c r="A197" s="4"/>
      <c r="B197" s="4"/>
      <c r="C197" s="4"/>
      <c r="D197" s="4"/>
      <c r="E197" s="4"/>
      <c r="F197" s="4"/>
      <c r="G197" s="4"/>
      <c r="H197" s="4"/>
      <c r="I197" s="4"/>
      <c r="J197" s="4"/>
      <c r="K197" s="4"/>
      <c r="L197" s="4"/>
    </row>
    <row r="198" spans="1:17" s="5" customFormat="1" ht="15" customHeight="1">
      <c r="A198" s="4"/>
      <c r="B198" s="4"/>
      <c r="C198" s="4"/>
      <c r="D198" s="4"/>
      <c r="E198" s="4"/>
      <c r="F198" s="4"/>
      <c r="G198" s="4"/>
      <c r="H198" s="4"/>
      <c r="I198" s="4"/>
      <c r="J198" s="4"/>
      <c r="K198" s="4"/>
      <c r="L198" s="4"/>
    </row>
    <row r="199" spans="1:17" s="5" customFormat="1" ht="15" customHeight="1">
      <c r="A199" s="4"/>
      <c r="B199" s="4"/>
      <c r="C199" s="4"/>
      <c r="D199" s="4"/>
      <c r="E199" s="4"/>
      <c r="F199" s="4"/>
      <c r="G199" s="4"/>
      <c r="H199" s="4"/>
      <c r="I199" s="4"/>
      <c r="J199" s="4"/>
      <c r="K199" s="4"/>
      <c r="L199" s="4"/>
      <c r="O199" s="4"/>
      <c r="P199" s="4"/>
      <c r="Q199" s="4"/>
    </row>
    <row r="200" spans="1:17" s="5" customFormat="1" ht="15" customHeight="1">
      <c r="A200" s="4"/>
      <c r="B200" s="4"/>
      <c r="C200" s="4"/>
      <c r="D200" s="4"/>
      <c r="E200" s="4"/>
      <c r="F200" s="4"/>
      <c r="G200" s="4"/>
      <c r="H200" s="4"/>
      <c r="I200" s="4"/>
      <c r="J200" s="4"/>
      <c r="K200" s="4"/>
      <c r="L200" s="4"/>
      <c r="O200" s="4"/>
      <c r="P200" s="4"/>
      <c r="Q200" s="4"/>
    </row>
    <row r="201" spans="1:17" s="5" customFormat="1" ht="15" customHeight="1">
      <c r="A201" s="4"/>
      <c r="B201" s="4"/>
      <c r="C201" s="4"/>
      <c r="D201" s="4"/>
      <c r="E201" s="4"/>
      <c r="F201" s="4"/>
      <c r="G201" s="4"/>
      <c r="H201" s="4"/>
      <c r="I201" s="4"/>
      <c r="J201" s="4"/>
      <c r="K201" s="4"/>
      <c r="L201" s="4"/>
      <c r="O201" s="4"/>
      <c r="P201" s="4"/>
      <c r="Q201" s="4"/>
    </row>
    <row r="202" spans="1:17" s="5" customFormat="1" ht="15" customHeight="1">
      <c r="A202" s="4"/>
      <c r="B202" s="4"/>
      <c r="C202" s="4"/>
      <c r="D202" s="4"/>
      <c r="E202" s="4"/>
      <c r="F202" s="4"/>
      <c r="G202" s="4"/>
      <c r="H202" s="4"/>
      <c r="I202" s="4"/>
      <c r="J202" s="4"/>
      <c r="K202" s="4"/>
      <c r="L202" s="4"/>
      <c r="O202" s="4"/>
      <c r="P202" s="4"/>
      <c r="Q202" s="4"/>
    </row>
    <row r="203" spans="1:17" ht="15" customHeight="1"/>
    <row r="204" spans="1:17" ht="30" customHeight="1">
      <c r="O204" s="5"/>
      <c r="P204" s="5"/>
      <c r="Q204" s="5"/>
    </row>
    <row r="205" spans="1:17" ht="15" customHeight="1"/>
    <row r="206" spans="1:17" ht="15" customHeight="1"/>
    <row r="207" spans="1:17" ht="15" customHeight="1"/>
    <row r="208" spans="1:17" s="5" customFormat="1" ht="15" customHeight="1">
      <c r="A208" s="4"/>
      <c r="B208" s="4"/>
      <c r="C208" s="4"/>
      <c r="D208" s="4"/>
      <c r="E208" s="4"/>
      <c r="F208" s="4"/>
      <c r="G208" s="4"/>
      <c r="H208" s="4"/>
      <c r="I208" s="4"/>
      <c r="J208" s="4"/>
      <c r="K208" s="4"/>
      <c r="L208" s="4"/>
      <c r="O208" s="4"/>
      <c r="P208" s="4"/>
      <c r="Q208" s="4"/>
    </row>
  </sheetData>
  <sheetProtection password="89E8" sheet="1" objects="1" scenarios="1" selectLockedCells="1"/>
  <mergeCells count="59">
    <mergeCell ref="B101:F101"/>
    <mergeCell ref="B14:H14"/>
    <mergeCell ref="B57:G57"/>
    <mergeCell ref="K83:L83"/>
    <mergeCell ref="K81:L81"/>
    <mergeCell ref="B58:B59"/>
    <mergeCell ref="K92:L92"/>
    <mergeCell ref="K93:L93"/>
    <mergeCell ref="K94:L94"/>
    <mergeCell ref="K95:L95"/>
    <mergeCell ref="K101:L101"/>
    <mergeCell ref="B71:G71"/>
    <mergeCell ref="K22:L22"/>
    <mergeCell ref="K32:L32"/>
    <mergeCell ref="K40:L40"/>
    <mergeCell ref="K20:L20"/>
    <mergeCell ref="B62:K64"/>
    <mergeCell ref="K85:L85"/>
    <mergeCell ref="K38:L38"/>
    <mergeCell ref="K80:L80"/>
    <mergeCell ref="K71:L71"/>
    <mergeCell ref="K66:L66"/>
    <mergeCell ref="A55:L55"/>
    <mergeCell ref="E58:G59"/>
    <mergeCell ref="I58:I59"/>
    <mergeCell ref="K58:K59"/>
    <mergeCell ref="B56:L56"/>
    <mergeCell ref="K74:L74"/>
    <mergeCell ref="C58:D58"/>
    <mergeCell ref="C59:D59"/>
    <mergeCell ref="I57:L57"/>
    <mergeCell ref="A2:L2"/>
    <mergeCell ref="B4:G4"/>
    <mergeCell ref="I4:L4"/>
    <mergeCell ref="K11:L11"/>
    <mergeCell ref="B5:B6"/>
    <mergeCell ref="B3:L3"/>
    <mergeCell ref="C5:D5"/>
    <mergeCell ref="B11:E11"/>
    <mergeCell ref="C6:D6"/>
    <mergeCell ref="F11:G11"/>
    <mergeCell ref="I5:I6"/>
    <mergeCell ref="K12:L12"/>
    <mergeCell ref="K13:L13"/>
    <mergeCell ref="E5:G6"/>
    <mergeCell ref="K5:K6"/>
    <mergeCell ref="Q15:V16"/>
    <mergeCell ref="K16:L16"/>
    <mergeCell ref="K15:L15"/>
    <mergeCell ref="Q17:V18"/>
    <mergeCell ref="Q26:S27"/>
    <mergeCell ref="Q28:S29"/>
    <mergeCell ref="B37:F37"/>
    <mergeCell ref="K36:L36"/>
    <mergeCell ref="K31:L31"/>
    <mergeCell ref="B26:K27"/>
    <mergeCell ref="K30:L30"/>
    <mergeCell ref="K29:L29"/>
    <mergeCell ref="K17:L17"/>
  </mergeCells>
  <phoneticPr fontId="3"/>
  <conditionalFormatting sqref="I87">
    <cfRule type="cellIs" dxfId="7" priority="10" stopIfTrue="1" operator="greaterThan">
      <formula>0.1</formula>
    </cfRule>
  </conditionalFormatting>
  <conditionalFormatting sqref="I96">
    <cfRule type="expression" dxfId="6" priority="4">
      <formula>$I$96&lt;&gt;1</formula>
    </cfRule>
  </conditionalFormatting>
  <conditionalFormatting sqref="I97">
    <cfRule type="expression" dxfId="5" priority="3">
      <formula>$I$97&lt;&gt;0.5</formula>
    </cfRule>
  </conditionalFormatting>
  <conditionalFormatting sqref="I98">
    <cfRule type="expression" dxfId="4" priority="2">
      <formula>$I$98&lt;&gt;0.8</formula>
    </cfRule>
  </conditionalFormatting>
  <conditionalFormatting sqref="I99">
    <cfRule type="expression" dxfId="3" priority="1">
      <formula>$I$99&lt;&gt;1</formula>
    </cfRule>
  </conditionalFormatting>
  <pageMargins left="0.78740157480314965" right="0.51181102362204722" top="0.78740157480314965" bottom="0.39370078740157483" header="0.19685039370078741" footer="0.19685039370078741"/>
  <pageSetup paperSize="9" orientation="portrait" r:id="rId1"/>
  <rowBreaks count="2" manualBreakCount="2">
    <brk id="53" max="16383" man="1"/>
    <brk id="103"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view="pageBreakPreview" zoomScaleNormal="100" zoomScaleSheetLayoutView="100" workbookViewId="0">
      <selection activeCell="E20" sqref="E20"/>
    </sheetView>
  </sheetViews>
  <sheetFormatPr defaultRowHeight="13.5"/>
  <cols>
    <col min="1" max="1" width="11.5" style="4" customWidth="1"/>
    <col min="2" max="2" width="5.75" style="4" customWidth="1"/>
    <col min="3" max="3" width="9.125" style="4" customWidth="1"/>
    <col min="4" max="4" width="12.25" style="4" customWidth="1"/>
    <col min="5" max="5" width="12.875" style="4" customWidth="1"/>
    <col min="6" max="8" width="9.125" style="4" customWidth="1"/>
    <col min="9" max="9" width="6.875" style="4" customWidth="1"/>
    <col min="10" max="10" width="3" style="4" customWidth="1"/>
    <col min="11" max="11" width="5.625" style="4" customWidth="1"/>
    <col min="12" max="15" width="9" style="4" customWidth="1"/>
    <col min="16" max="16384" width="9" style="4"/>
  </cols>
  <sheetData>
    <row r="1" spans="1:10" ht="14.25" thickBot="1">
      <c r="J1" s="35"/>
    </row>
    <row r="2" spans="1:10" s="5" customFormat="1" ht="19.5" customHeight="1" thickBot="1">
      <c r="A2" s="513" t="str">
        <f>+表紙!A2</f>
        <v>業務用厨房熱機器等性能測定結果　【電気機器】</v>
      </c>
      <c r="B2" s="514"/>
      <c r="C2" s="514"/>
      <c r="D2" s="514"/>
      <c r="E2" s="514"/>
      <c r="F2" s="514"/>
      <c r="G2" s="514"/>
      <c r="H2" s="514"/>
      <c r="I2" s="514"/>
      <c r="J2" s="515"/>
    </row>
    <row r="3" spans="1:10" s="5" customFormat="1" ht="28.5" customHeight="1" thickTop="1">
      <c r="A3" s="6" t="s">
        <v>273</v>
      </c>
      <c r="B3" s="500" t="str">
        <f>+表紙!B3&amp;"　　（６．給湯量）"</f>
        <v>ラックコンベア洗浄機、フライトコンベア洗浄機、フラットコンベア洗浄機(選択してください)　　（６．給湯量）</v>
      </c>
      <c r="C3" s="501"/>
      <c r="D3" s="501"/>
      <c r="E3" s="501"/>
      <c r="F3" s="501"/>
      <c r="G3" s="501"/>
      <c r="H3" s="501"/>
      <c r="I3" s="501"/>
      <c r="J3" s="502"/>
    </row>
    <row r="4" spans="1:10" s="5" customFormat="1" ht="20.100000000000001" customHeight="1" thickBot="1">
      <c r="A4" s="7" t="s">
        <v>0</v>
      </c>
      <c r="B4" s="516" t="str">
        <f>IF(表紙!$B$6=0,"",表紙!$B$6)</f>
        <v/>
      </c>
      <c r="C4" s="491"/>
      <c r="D4" s="491"/>
      <c r="E4" s="517"/>
      <c r="F4" s="233" t="s">
        <v>1</v>
      </c>
      <c r="G4" s="516" t="str">
        <f>IF(表紙!$H$5=0,"",表紙!$H$5)</f>
        <v/>
      </c>
      <c r="H4" s="491"/>
      <c r="I4" s="491"/>
      <c r="J4" s="518"/>
    </row>
    <row r="5" spans="1:10" s="5" customFormat="1" ht="15" customHeight="1">
      <c r="A5" s="44"/>
      <c r="B5" s="46"/>
      <c r="C5" s="91"/>
      <c r="D5" s="91"/>
      <c r="E5" s="234"/>
      <c r="F5" s="48"/>
      <c r="G5" s="92"/>
      <c r="H5" s="92"/>
      <c r="I5" s="92"/>
      <c r="J5" s="93"/>
    </row>
    <row r="6" spans="1:10" s="5" customFormat="1" ht="22.5" customHeight="1">
      <c r="A6" s="236" t="s">
        <v>91</v>
      </c>
      <c r="B6" s="45"/>
      <c r="C6" s="10"/>
      <c r="D6" s="10"/>
      <c r="E6" s="10"/>
      <c r="F6" s="10"/>
      <c r="G6" s="10"/>
      <c r="H6" s="10"/>
      <c r="I6" s="10"/>
      <c r="J6" s="11"/>
    </row>
    <row r="7" spans="1:10" s="5" customFormat="1" ht="18" customHeight="1">
      <c r="A7" s="9"/>
      <c r="B7" s="10"/>
      <c r="C7" s="408" t="s">
        <v>212</v>
      </c>
      <c r="D7" s="408"/>
      <c r="E7" s="408"/>
      <c r="F7" s="408"/>
      <c r="G7" s="408"/>
      <c r="H7" s="408"/>
      <c r="I7" s="408"/>
      <c r="J7" s="11"/>
    </row>
    <row r="8" spans="1:10" s="5" customFormat="1" ht="18" customHeight="1">
      <c r="A8" s="9"/>
      <c r="B8" s="10"/>
      <c r="C8" s="408"/>
      <c r="D8" s="408"/>
      <c r="E8" s="408"/>
      <c r="F8" s="408"/>
      <c r="G8" s="408"/>
      <c r="H8" s="408"/>
      <c r="I8" s="408"/>
      <c r="J8" s="11"/>
    </row>
    <row r="9" spans="1:10" s="5" customFormat="1" ht="15" customHeight="1" thickBot="1">
      <c r="A9" s="9"/>
      <c r="B9" s="253"/>
      <c r="C9" s="253"/>
      <c r="D9" s="253"/>
      <c r="E9" s="253"/>
      <c r="F9" s="253"/>
      <c r="G9" s="253"/>
      <c r="H9" s="253"/>
      <c r="I9" s="253"/>
      <c r="J9" s="11"/>
    </row>
    <row r="10" spans="1:10" s="5" customFormat="1" ht="30" customHeight="1" thickBot="1">
      <c r="A10" s="9"/>
      <c r="B10" s="577" t="s">
        <v>219</v>
      </c>
      <c r="C10" s="577"/>
      <c r="D10" s="577"/>
      <c r="E10" s="577"/>
      <c r="F10" s="14" t="s">
        <v>70</v>
      </c>
      <c r="G10" s="235" t="str">
        <f>IF(+SUM(表紙!F15,表紙!F16,表紙!J15)=0,"",+SUM(表紙!F15,表紙!F16,表紙!J15))</f>
        <v/>
      </c>
      <c r="H10" s="204" t="s">
        <v>46</v>
      </c>
      <c r="I10" s="205" t="s">
        <v>81</v>
      </c>
      <c r="J10" s="11"/>
    </row>
    <row r="11" spans="1:10" s="5" customFormat="1" ht="15" customHeight="1">
      <c r="A11" s="9"/>
      <c r="B11" s="10"/>
      <c r="C11" s="12"/>
      <c r="D11" s="12"/>
      <c r="E11" s="10"/>
      <c r="F11" s="10"/>
      <c r="G11" s="10"/>
      <c r="H11" s="10"/>
      <c r="I11" s="10"/>
      <c r="J11" s="11"/>
    </row>
    <row r="12" spans="1:10" s="5" customFormat="1" ht="22.5" customHeight="1">
      <c r="A12" s="236" t="s">
        <v>92</v>
      </c>
      <c r="B12" s="45"/>
      <c r="C12" s="10"/>
      <c r="D12" s="10"/>
      <c r="E12" s="10"/>
      <c r="F12" s="10"/>
      <c r="G12" s="10"/>
      <c r="H12" s="10"/>
      <c r="I12" s="10"/>
      <c r="J12" s="11"/>
    </row>
    <row r="13" spans="1:10" s="5" customFormat="1" ht="18" customHeight="1">
      <c r="A13" s="9"/>
      <c r="B13" s="253"/>
      <c r="C13" s="408" t="s">
        <v>213</v>
      </c>
      <c r="D13" s="408"/>
      <c r="E13" s="408"/>
      <c r="F13" s="408"/>
      <c r="G13" s="408"/>
      <c r="H13" s="408"/>
      <c r="I13" s="408"/>
      <c r="J13" s="11"/>
    </row>
    <row r="14" spans="1:10" s="5" customFormat="1" ht="15" customHeight="1">
      <c r="A14" s="9"/>
      <c r="B14" s="253"/>
      <c r="C14" s="408"/>
      <c r="D14" s="408"/>
      <c r="E14" s="408"/>
      <c r="F14" s="408"/>
      <c r="G14" s="408"/>
      <c r="H14" s="408"/>
      <c r="I14" s="408"/>
      <c r="J14" s="11"/>
    </row>
    <row r="15" spans="1:10" s="5" customFormat="1" ht="15" customHeight="1" thickBot="1">
      <c r="A15" s="9"/>
      <c r="B15" s="253"/>
      <c r="C15" s="204"/>
      <c r="D15" s="204"/>
      <c r="E15" s="204"/>
      <c r="F15" s="204"/>
      <c r="G15" s="204"/>
      <c r="H15" s="204"/>
      <c r="I15" s="204"/>
      <c r="J15" s="11"/>
    </row>
    <row r="16" spans="1:10" s="5" customFormat="1" ht="30" customHeight="1" thickBot="1">
      <c r="A16" s="9"/>
      <c r="B16" s="408" t="s">
        <v>218</v>
      </c>
      <c r="C16" s="408"/>
      <c r="D16" s="408"/>
      <c r="E16" s="408"/>
      <c r="F16" s="94" t="s">
        <v>71</v>
      </c>
      <c r="G16" s="95" t="str">
        <f>IF(表紙!J13&lt;&gt;"",表紙!J13,"")</f>
        <v/>
      </c>
      <c r="H16" s="204" t="s">
        <v>17</v>
      </c>
      <c r="I16" s="205" t="s">
        <v>81</v>
      </c>
      <c r="J16" s="11"/>
    </row>
    <row r="17" spans="1:10" s="5" customFormat="1" ht="15" customHeight="1">
      <c r="A17" s="9"/>
      <c r="B17" s="253"/>
      <c r="C17" s="253"/>
      <c r="D17" s="253"/>
      <c r="E17" s="253"/>
      <c r="F17" s="190"/>
      <c r="G17" s="192"/>
      <c r="H17" s="253"/>
      <c r="I17" s="191"/>
      <c r="J17" s="11"/>
    </row>
    <row r="18" spans="1:10" s="5" customFormat="1" ht="22.5" customHeight="1">
      <c r="A18" s="236" t="s">
        <v>214</v>
      </c>
      <c r="B18" s="45"/>
      <c r="C18" s="253"/>
      <c r="D18" s="253"/>
      <c r="E18" s="263"/>
      <c r="F18" s="190"/>
      <c r="G18" s="192"/>
      <c r="H18" s="253"/>
      <c r="I18" s="191"/>
      <c r="J18" s="11"/>
    </row>
    <row r="19" spans="1:10" s="5" customFormat="1" ht="15" customHeight="1">
      <c r="A19" s="9"/>
      <c r="B19" s="10"/>
      <c r="C19" s="20" t="s">
        <v>97</v>
      </c>
      <c r="D19" s="10"/>
      <c r="E19" s="10"/>
      <c r="F19" s="94"/>
      <c r="G19" s="96"/>
      <c r="H19" s="10"/>
      <c r="I19" s="88"/>
      <c r="J19" s="11"/>
    </row>
    <row r="20" spans="1:10" s="5" customFormat="1" ht="15" customHeight="1">
      <c r="A20" s="9"/>
      <c r="B20" s="10"/>
      <c r="C20" s="12"/>
      <c r="D20" s="97"/>
      <c r="E20" s="267"/>
      <c r="F20" s="10"/>
      <c r="G20" s="10"/>
      <c r="H20" s="10"/>
      <c r="I20" s="10"/>
      <c r="J20" s="11"/>
    </row>
    <row r="21" spans="1:10" s="5" customFormat="1" ht="22.5" customHeight="1">
      <c r="A21" s="236" t="s">
        <v>220</v>
      </c>
      <c r="B21" s="45"/>
      <c r="C21" s="12"/>
      <c r="D21" s="98"/>
      <c r="E21" s="267"/>
      <c r="F21" s="10"/>
      <c r="G21" s="10"/>
      <c r="H21" s="10"/>
      <c r="I21" s="10"/>
      <c r="J21" s="11"/>
    </row>
    <row r="22" spans="1:10" s="5" customFormat="1" ht="15" customHeight="1">
      <c r="A22" s="9"/>
      <c r="B22" s="10"/>
      <c r="C22" s="267" t="s">
        <v>215</v>
      </c>
      <c r="D22" s="98"/>
      <c r="E22" s="267"/>
      <c r="F22" s="10"/>
      <c r="G22" s="10"/>
      <c r="H22" s="10"/>
      <c r="I22" s="10"/>
      <c r="J22" s="11"/>
    </row>
    <row r="23" spans="1:10" s="5" customFormat="1" ht="29.25" customHeight="1">
      <c r="A23" s="9"/>
      <c r="B23" s="10"/>
      <c r="C23" s="267"/>
      <c r="D23" s="98"/>
      <c r="E23" s="267"/>
      <c r="F23" s="10"/>
      <c r="G23" s="10"/>
      <c r="H23" s="10"/>
      <c r="I23" s="10"/>
      <c r="J23" s="11"/>
    </row>
    <row r="24" spans="1:10" s="5" customFormat="1" ht="18" customHeight="1">
      <c r="A24" s="9"/>
      <c r="B24" s="267" t="s">
        <v>295</v>
      </c>
      <c r="C24" s="10"/>
      <c r="D24" s="98"/>
      <c r="E24" s="267"/>
      <c r="F24" s="14" t="s">
        <v>72</v>
      </c>
      <c r="G24" s="99" t="str">
        <f>+G10</f>
        <v/>
      </c>
      <c r="H24" s="10" t="s">
        <v>120</v>
      </c>
      <c r="I24" s="88" t="s">
        <v>81</v>
      </c>
      <c r="J24" s="11"/>
    </row>
    <row r="25" spans="1:10" s="5" customFormat="1" ht="18" customHeight="1">
      <c r="A25" s="9"/>
      <c r="B25" s="267" t="s">
        <v>216</v>
      </c>
      <c r="C25" s="10"/>
      <c r="D25" s="98"/>
      <c r="E25" s="267"/>
      <c r="F25" s="14" t="s">
        <v>127</v>
      </c>
      <c r="G25" s="99" t="str">
        <f>+G16</f>
        <v/>
      </c>
      <c r="H25" s="10" t="s">
        <v>17</v>
      </c>
      <c r="I25" s="88" t="s">
        <v>81</v>
      </c>
      <c r="J25" s="11"/>
    </row>
    <row r="26" spans="1:10" s="5" customFormat="1" ht="18" customHeight="1">
      <c r="A26" s="9"/>
      <c r="B26" s="267" t="s">
        <v>296</v>
      </c>
      <c r="C26" s="10"/>
      <c r="D26" s="98"/>
      <c r="E26" s="267"/>
      <c r="F26" s="14" t="s">
        <v>217</v>
      </c>
      <c r="G26" s="213">
        <f>+'5.消費電力量'!I99</f>
        <v>1</v>
      </c>
      <c r="H26" s="10" t="s">
        <v>25</v>
      </c>
      <c r="I26" s="10"/>
      <c r="J26" s="11"/>
    </row>
    <row r="27" spans="1:10" s="5" customFormat="1" ht="18" customHeight="1">
      <c r="A27" s="9"/>
      <c r="B27" s="267" t="s">
        <v>297</v>
      </c>
      <c r="C27" s="10"/>
      <c r="D27" s="98"/>
      <c r="E27" s="267"/>
      <c r="F27" s="14" t="s">
        <v>73</v>
      </c>
      <c r="G27" s="237">
        <f>+'5.消費電力量'!I96</f>
        <v>1</v>
      </c>
      <c r="H27" s="10" t="s">
        <v>50</v>
      </c>
      <c r="I27" s="10"/>
      <c r="J27" s="11"/>
    </row>
    <row r="28" spans="1:10" s="5" customFormat="1" ht="7.5" customHeight="1" thickBot="1">
      <c r="A28" s="9"/>
      <c r="B28" s="267"/>
      <c r="C28" s="10"/>
      <c r="D28" s="98"/>
      <c r="E28" s="267"/>
      <c r="F28" s="10"/>
      <c r="G28" s="10"/>
      <c r="H28" s="10"/>
      <c r="I28" s="10"/>
      <c r="J28" s="11"/>
    </row>
    <row r="29" spans="1:10" s="5" customFormat="1" ht="17.45" customHeight="1" thickBot="1">
      <c r="A29" s="9"/>
      <c r="B29" s="408" t="s">
        <v>224</v>
      </c>
      <c r="C29" s="542"/>
      <c r="D29" s="542"/>
      <c r="E29" s="542"/>
      <c r="F29" s="14" t="s">
        <v>128</v>
      </c>
      <c r="G29" s="95" t="str">
        <f>IF(COUNTBLANK(G24:G27)=0,G26*G24+G27*G25,"")</f>
        <v/>
      </c>
      <c r="H29" s="10" t="s">
        <v>18</v>
      </c>
      <c r="I29" s="88" t="s">
        <v>81</v>
      </c>
      <c r="J29" s="11"/>
    </row>
    <row r="30" spans="1:10" s="5" customFormat="1" ht="15" customHeight="1">
      <c r="A30" s="9"/>
      <c r="B30" s="542"/>
      <c r="C30" s="542"/>
      <c r="D30" s="542"/>
      <c r="E30" s="542"/>
      <c r="F30" s="100"/>
      <c r="G30" s="10"/>
      <c r="H30" s="10"/>
      <c r="I30" s="10"/>
      <c r="J30" s="11"/>
    </row>
    <row r="31" spans="1:10" s="5" customFormat="1" ht="15" customHeight="1">
      <c r="A31" s="9"/>
      <c r="B31" s="10"/>
      <c r="C31" s="10"/>
      <c r="D31" s="10"/>
      <c r="E31" s="10"/>
      <c r="F31" s="10"/>
      <c r="G31" s="10"/>
      <c r="H31" s="10"/>
      <c r="I31" s="10"/>
      <c r="J31" s="11"/>
    </row>
    <row r="32" spans="1:10" s="5" customFormat="1" ht="15" customHeight="1">
      <c r="A32" s="9"/>
      <c r="B32" s="10"/>
      <c r="C32" s="10"/>
      <c r="D32" s="10"/>
      <c r="E32" s="10"/>
      <c r="F32" s="10"/>
      <c r="G32" s="10"/>
      <c r="H32" s="10"/>
      <c r="I32" s="10"/>
      <c r="J32" s="11"/>
    </row>
    <row r="33" spans="1:19" s="5" customFormat="1" ht="15" customHeight="1">
      <c r="A33" s="9"/>
      <c r="B33" s="10"/>
      <c r="C33" s="10"/>
      <c r="D33" s="10"/>
      <c r="E33" s="10"/>
      <c r="F33" s="10"/>
      <c r="G33" s="10"/>
      <c r="H33" s="10"/>
      <c r="I33" s="10"/>
      <c r="J33" s="11"/>
    </row>
    <row r="34" spans="1:19" s="5" customFormat="1" ht="15" customHeight="1">
      <c r="A34" s="9"/>
      <c r="B34" s="10"/>
      <c r="C34" s="10"/>
      <c r="D34" s="10"/>
      <c r="E34" s="10"/>
      <c r="F34" s="10"/>
      <c r="G34" s="10"/>
      <c r="H34" s="10"/>
      <c r="I34" s="10"/>
      <c r="J34" s="11"/>
    </row>
    <row r="35" spans="1:19" s="5" customFormat="1" ht="15" customHeight="1">
      <c r="A35" s="9"/>
      <c r="B35" s="10"/>
      <c r="C35" s="10"/>
      <c r="D35" s="10"/>
      <c r="E35" s="10"/>
      <c r="F35" s="10"/>
      <c r="G35" s="10"/>
      <c r="H35" s="10"/>
      <c r="I35" s="10"/>
      <c r="J35" s="11"/>
    </row>
    <row r="36" spans="1:19" s="5" customFormat="1" ht="15" customHeight="1">
      <c r="A36" s="9"/>
      <c r="B36" s="10"/>
      <c r="C36" s="10"/>
      <c r="D36" s="10"/>
      <c r="E36" s="10"/>
      <c r="F36" s="10"/>
      <c r="G36" s="10"/>
      <c r="H36" s="10"/>
      <c r="I36" s="10"/>
      <c r="J36" s="11"/>
    </row>
    <row r="37" spans="1:19" s="5" customFormat="1" ht="15" customHeight="1">
      <c r="A37" s="9"/>
      <c r="B37" s="10"/>
      <c r="C37" s="10"/>
      <c r="D37" s="10"/>
      <c r="E37" s="10"/>
      <c r="F37" s="10"/>
      <c r="G37" s="10"/>
      <c r="H37" s="10"/>
      <c r="I37" s="10"/>
      <c r="J37" s="11"/>
    </row>
    <row r="38" spans="1:19" s="5" customFormat="1" ht="15" customHeight="1">
      <c r="A38" s="9"/>
      <c r="B38" s="10"/>
      <c r="C38" s="10"/>
      <c r="D38" s="10"/>
      <c r="E38" s="10"/>
      <c r="F38" s="10"/>
      <c r="G38" s="10"/>
      <c r="H38" s="10"/>
      <c r="I38" s="10"/>
      <c r="J38" s="11"/>
    </row>
    <row r="39" spans="1:19" s="5" customFormat="1" ht="15" customHeight="1">
      <c r="A39" s="9"/>
      <c r="B39" s="10"/>
      <c r="C39" s="10"/>
      <c r="D39" s="10"/>
      <c r="E39" s="10"/>
      <c r="F39" s="10"/>
      <c r="G39" s="10"/>
      <c r="H39" s="10"/>
      <c r="I39" s="10"/>
      <c r="J39" s="11"/>
    </row>
    <row r="40" spans="1:19" s="5" customFormat="1" ht="15" customHeight="1">
      <c r="A40" s="9"/>
      <c r="B40" s="10"/>
      <c r="C40" s="10"/>
      <c r="D40" s="10"/>
      <c r="E40" s="10"/>
      <c r="F40" s="10"/>
      <c r="G40" s="10"/>
      <c r="H40" s="10"/>
      <c r="I40" s="10"/>
      <c r="J40" s="11"/>
    </row>
    <row r="41" spans="1:19" s="5" customFormat="1" ht="15" customHeight="1">
      <c r="A41" s="9"/>
      <c r="B41" s="10"/>
      <c r="C41" s="10"/>
      <c r="D41" s="10"/>
      <c r="E41" s="10"/>
      <c r="F41" s="10"/>
      <c r="G41" s="10"/>
      <c r="H41" s="10"/>
      <c r="I41" s="10"/>
      <c r="J41" s="11"/>
    </row>
    <row r="42" spans="1:19" s="5" customFormat="1" ht="15" customHeight="1">
      <c r="A42" s="9"/>
      <c r="B42" s="10"/>
      <c r="C42" s="10"/>
      <c r="D42" s="10"/>
      <c r="E42" s="10"/>
      <c r="F42" s="10"/>
      <c r="G42" s="10"/>
      <c r="H42" s="10"/>
      <c r="I42" s="10"/>
      <c r="J42" s="11"/>
      <c r="M42" s="267"/>
      <c r="N42" s="98"/>
      <c r="O42" s="267"/>
      <c r="S42" s="10"/>
    </row>
    <row r="43" spans="1:19" s="5" customFormat="1" ht="15" customHeight="1">
      <c r="A43" s="9"/>
      <c r="B43" s="10"/>
      <c r="C43" s="10"/>
      <c r="D43" s="98"/>
      <c r="E43" s="267"/>
      <c r="F43" s="10"/>
      <c r="G43" s="10"/>
      <c r="H43" s="10"/>
      <c r="I43" s="10"/>
      <c r="J43" s="11"/>
    </row>
    <row r="44" spans="1:19" s="5" customFormat="1" ht="15" customHeight="1">
      <c r="A44" s="9"/>
      <c r="B44" s="10"/>
      <c r="C44" s="10"/>
      <c r="D44" s="98"/>
      <c r="E44" s="267"/>
      <c r="F44" s="10"/>
      <c r="G44" s="10"/>
      <c r="H44" s="10"/>
      <c r="I44" s="10"/>
      <c r="J44" s="11"/>
    </row>
    <row r="45" spans="1:19" s="5" customFormat="1" ht="15" customHeight="1">
      <c r="A45" s="9"/>
      <c r="B45" s="10"/>
      <c r="C45" s="12"/>
      <c r="D45" s="98"/>
      <c r="E45" s="267"/>
      <c r="F45" s="10"/>
      <c r="G45" s="10"/>
      <c r="H45" s="10"/>
      <c r="I45" s="10"/>
      <c r="J45" s="11"/>
    </row>
    <row r="46" spans="1:19" s="5" customFormat="1" ht="16.899999999999999" customHeight="1" thickBot="1">
      <c r="A46" s="37"/>
      <c r="B46" s="63"/>
      <c r="C46" s="63"/>
      <c r="D46" s="101"/>
      <c r="E46" s="63"/>
      <c r="F46" s="63"/>
      <c r="G46" s="63"/>
      <c r="H46" s="63"/>
      <c r="I46" s="63"/>
      <c r="J46" s="90"/>
    </row>
    <row r="47" spans="1:19" s="5" customFormat="1" ht="8.4499999999999993" customHeight="1">
      <c r="A47" s="4"/>
      <c r="B47" s="4"/>
      <c r="C47" s="4"/>
      <c r="D47" s="4"/>
      <c r="E47" s="4"/>
      <c r="F47" s="4"/>
      <c r="G47" s="4"/>
      <c r="H47" s="4"/>
      <c r="I47" s="4"/>
      <c r="J47" s="4"/>
    </row>
    <row r="48" spans="1:19" s="5" customFormat="1" ht="15" customHeight="1">
      <c r="A48" s="4"/>
      <c r="B48" s="4"/>
      <c r="C48" s="4"/>
      <c r="D48" s="4"/>
      <c r="E48" s="4"/>
      <c r="F48" s="4"/>
      <c r="G48" s="4"/>
      <c r="H48" s="4"/>
      <c r="I48" s="4"/>
      <c r="J48" s="4"/>
    </row>
    <row r="53" ht="8.4499999999999993" customHeight="1"/>
  </sheetData>
  <sheetProtection password="89E8" sheet="1" objects="1" scenarios="1" selectLockedCells="1"/>
  <mergeCells count="9">
    <mergeCell ref="A2:J2"/>
    <mergeCell ref="B3:J3"/>
    <mergeCell ref="B29:E30"/>
    <mergeCell ref="C13:I14"/>
    <mergeCell ref="B10:E10"/>
    <mergeCell ref="B16:E16"/>
    <mergeCell ref="B4:E4"/>
    <mergeCell ref="G4:J4"/>
    <mergeCell ref="C7:I8"/>
  </mergeCells>
  <phoneticPr fontId="3"/>
  <conditionalFormatting sqref="A1">
    <cfRule type="expression" dxfId="2" priority="6" stopIfTrue="1">
      <formula>$G$27&lt;&gt;1</formula>
    </cfRule>
  </conditionalFormatting>
  <conditionalFormatting sqref="G26">
    <cfRule type="expression" dxfId="1" priority="2">
      <formula>$G$26&lt;&gt;1</formula>
    </cfRule>
  </conditionalFormatting>
  <conditionalFormatting sqref="G27">
    <cfRule type="expression" dxfId="0" priority="1">
      <formula>$G$27&lt;&gt;1</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表紙</vt:lpstr>
      <vt:lpstr>1.定格消費電力</vt:lpstr>
      <vt:lpstr>3.立上り性能</vt:lpstr>
      <vt:lpstr>4.処理能力</vt:lpstr>
      <vt:lpstr>5.消費電力量</vt:lpstr>
      <vt:lpstr>6.給湯量</vt:lpstr>
      <vt:lpstr>'1.定格消費電力'!Print_Area</vt:lpstr>
      <vt:lpstr>'3.立上り性能'!Print_Area</vt:lpstr>
      <vt:lpstr>'4.処理能力'!Print_Area</vt:lpstr>
      <vt:lpstr>'5.消費電力量'!Print_Area</vt:lpstr>
      <vt:lpstr>'6.給湯量'!Print_Area</vt:lpstr>
      <vt:lpstr>表紙!Print_Area</vt:lpstr>
      <vt:lpstr>フライトコンベア洗浄機</vt:lpstr>
      <vt:lpstr>フラットコンベア洗浄機</vt:lpstr>
      <vt:lpstr>ラックコンベア洗浄機</vt:lpstr>
      <vt:lpstr>ラックコンベア洗浄機_フライトコンベア洗浄機_フラットコンベア洗浄機_選択してください</vt:lpstr>
      <vt:lpstr>給水温</vt:lpstr>
      <vt:lpstr>給湯温</vt:lpstr>
      <vt:lpstr>消費無処給水</vt:lpstr>
      <vt:lpstr>消費無処給湯</vt:lpstr>
      <vt:lpstr>消費立給水</vt:lpstr>
      <vt:lpstr>消費立給湯</vt:lpstr>
      <vt:lpstr>品目</vt:lpstr>
      <vt:lpstr>立循環給水</vt:lpstr>
      <vt:lpstr>立循環給湯</vt:lpstr>
      <vt:lpstr>立洗浄給水</vt:lpstr>
      <vt:lpstr>立洗浄給湯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2016-02-10T13:08:35Z</dcterms:created>
  <dcterms:modified xsi:type="dcterms:W3CDTF">2017-03-02T03:31:48Z</dcterms:modified>
</cp:coreProperties>
</file>